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"/>
    </mc:Choice>
  </mc:AlternateContent>
  <xr:revisionPtr revIDLastSave="0" documentId="13_ncr:1_{9318586B-57FC-4DD3-9DB7-1E47B6A25382}" xr6:coauthVersionLast="47" xr6:coauthVersionMax="47" xr10:uidLastSave="{00000000-0000-0000-0000-000000000000}"/>
  <bookViews>
    <workbookView xWindow="-120" yWindow="-120" windowWidth="24240" windowHeight="13140" tabRatio="802" xr2:uid="{00000000-000D-0000-FFFF-FFFF00000000}"/>
  </bookViews>
  <sheets>
    <sheet name="1. Coleta Domiciliar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  <sheet name="7. Dimensionamento" sheetId="9" r:id="rId7"/>
  </sheets>
  <definedNames>
    <definedName name="AbaDeprec">'5. Depreciação'!$A$1</definedName>
    <definedName name="AbaRemun">'6.Remuneração de capital'!$A$1</definedName>
    <definedName name="_xlnm.Print_Area" localSheetId="0">'1. Coleta Domiciliar'!$A$1:$F$236</definedName>
    <definedName name="_xlnm.Print_Area" localSheetId="1">'2.Encargos Sociais'!$A$1:$C$36</definedName>
    <definedName name="_xlnm.Print_Titles" localSheetId="0">'1. Coleta Domiciliar'!#REF!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5" i="2" l="1"/>
  <c r="A9" i="2" l="1"/>
  <c r="A37" i="2"/>
  <c r="C21" i="9"/>
  <c r="C19" i="5" l="1"/>
  <c r="C163" i="2" l="1"/>
  <c r="C162" i="2"/>
  <c r="C164" i="2"/>
  <c r="A24" i="2" l="1"/>
  <c r="A23" i="2"/>
  <c r="A15" i="2"/>
  <c r="A14" i="2"/>
  <c r="A6" i="2"/>
  <c r="C13" i="9" l="1"/>
  <c r="C14" i="9" s="1"/>
  <c r="C15" i="9" l="1"/>
  <c r="C17" i="9"/>
  <c r="C22" i="9" s="1"/>
  <c r="C24" i="9" s="1"/>
  <c r="C133" i="2"/>
  <c r="C138" i="2"/>
  <c r="C157" i="2" l="1"/>
  <c r="C152" i="2"/>
  <c r="D182" i="2"/>
  <c r="D180" i="2"/>
  <c r="D178" i="2"/>
  <c r="D176" i="2"/>
  <c r="D112" i="2" l="1"/>
  <c r="E112" i="2" s="1"/>
  <c r="E96" i="2"/>
  <c r="E97" i="2"/>
  <c r="E98" i="2"/>
  <c r="E99" i="2"/>
  <c r="E100" i="2"/>
  <c r="E101" i="2"/>
  <c r="E102" i="2"/>
  <c r="E103" i="2"/>
  <c r="E104" i="2"/>
  <c r="E95" i="2"/>
  <c r="C197" i="2" l="1"/>
  <c r="A22" i="2"/>
  <c r="A21" i="2"/>
  <c r="A20" i="2"/>
  <c r="A19" i="2"/>
  <c r="A18" i="2"/>
  <c r="A17" i="2"/>
  <c r="A16" i="2"/>
  <c r="A13" i="2"/>
  <c r="A12" i="2"/>
  <c r="A11" i="2"/>
  <c r="A7" i="2"/>
  <c r="C17" i="8"/>
  <c r="E166" i="2"/>
  <c r="E158" i="2"/>
  <c r="E142" i="2"/>
  <c r="E120" i="2"/>
  <c r="E107" i="2"/>
  <c r="E86" i="2"/>
  <c r="E65" i="2"/>
  <c r="E52" i="2"/>
  <c r="D146" i="2"/>
  <c r="C12" i="4"/>
  <c r="C17" i="4" s="1"/>
  <c r="C224" i="2" s="1"/>
  <c r="F10" i="4"/>
  <c r="E10" i="4"/>
  <c r="D10" i="4"/>
  <c r="C14" i="8"/>
  <c r="C21" i="5"/>
  <c r="E57" i="2"/>
  <c r="D73" i="2" s="1"/>
  <c r="C195" i="2"/>
  <c r="E195" i="2" s="1"/>
  <c r="C174" i="2"/>
  <c r="C176" i="2" s="1"/>
  <c r="E176" i="2" s="1"/>
  <c r="D174" i="2"/>
  <c r="D183" i="2" s="1"/>
  <c r="E130" i="2"/>
  <c r="D151" i="2"/>
  <c r="C139" i="2"/>
  <c r="C134" i="2"/>
  <c r="C135" i="2"/>
  <c r="C151" i="2" s="1"/>
  <c r="A30" i="2"/>
  <c r="A32" i="2"/>
  <c r="E46" i="2"/>
  <c r="D72" i="2" s="1"/>
  <c r="A78" i="2"/>
  <c r="A84" i="2" s="1"/>
  <c r="A79" i="2"/>
  <c r="A85" i="2" s="1"/>
  <c r="E105" i="2"/>
  <c r="D113" i="2"/>
  <c r="E113" i="2" s="1"/>
  <c r="D114" i="2"/>
  <c r="E114" i="2" s="1"/>
  <c r="D115" i="2"/>
  <c r="E115" i="2" s="1"/>
  <c r="D116" i="2"/>
  <c r="E116" i="2" s="1"/>
  <c r="D117" i="2"/>
  <c r="E117" i="2" s="1"/>
  <c r="E118" i="2"/>
  <c r="E193" i="2"/>
  <c r="E164" i="2"/>
  <c r="E163" i="2"/>
  <c r="E206" i="2"/>
  <c r="E209" i="2"/>
  <c r="E210" i="2"/>
  <c r="E207" i="2"/>
  <c r="E208" i="2"/>
  <c r="D60" i="2" l="1"/>
  <c r="E60" i="2" s="1"/>
  <c r="E61" i="2" s="1"/>
  <c r="C23" i="5"/>
  <c r="C24" i="5" s="1"/>
  <c r="C22" i="5"/>
  <c r="C28" i="8" s="1"/>
  <c r="D133" i="2"/>
  <c r="E133" i="2" s="1"/>
  <c r="D162" i="2"/>
  <c r="C180" i="2"/>
  <c r="E180" i="2" s="1"/>
  <c r="C182" i="2"/>
  <c r="E182" i="2" s="1"/>
  <c r="F211" i="2"/>
  <c r="F213" i="2" s="1"/>
  <c r="E23" i="2" s="1"/>
  <c r="E79" i="2"/>
  <c r="E174" i="2"/>
  <c r="E135" i="2"/>
  <c r="C153" i="2" s="1"/>
  <c r="D106" i="2"/>
  <c r="E78" i="2"/>
  <c r="E34" i="2"/>
  <c r="E84" i="2"/>
  <c r="E72" i="2"/>
  <c r="E151" i="2"/>
  <c r="E85" i="2"/>
  <c r="D47" i="2"/>
  <c r="E47" i="2" s="1"/>
  <c r="E48" i="2" s="1"/>
  <c r="D49" i="2" s="1"/>
  <c r="C178" i="2"/>
  <c r="E178" i="2" s="1"/>
  <c r="C188" i="2"/>
  <c r="E188" i="2" s="1"/>
  <c r="F189" i="2" s="1"/>
  <c r="E21" i="2" s="1"/>
  <c r="E146" i="2"/>
  <c r="D196" i="2"/>
  <c r="E196" i="2" s="1"/>
  <c r="E197" i="2" s="1"/>
  <c r="F198" i="2" s="1"/>
  <c r="E22" i="2" s="1"/>
  <c r="E73" i="2"/>
  <c r="D119" i="2"/>
  <c r="C27" i="8" l="1"/>
  <c r="C29" i="5"/>
  <c r="C24" i="8" s="1"/>
  <c r="C32" i="8" s="1"/>
  <c r="D134" i="2"/>
  <c r="E134" i="2" s="1"/>
  <c r="E162" i="2"/>
  <c r="D165" i="2" s="1"/>
  <c r="E165" i="2" s="1"/>
  <c r="F166" i="2" s="1"/>
  <c r="E19" i="2" s="1"/>
  <c r="C148" i="2"/>
  <c r="C149" i="2" s="1"/>
  <c r="D150" i="2" s="1"/>
  <c r="E150" i="2" s="1"/>
  <c r="C25" i="8"/>
  <c r="C16" i="8"/>
  <c r="C22" i="8" s="1"/>
  <c r="C31" i="8" s="1"/>
  <c r="F80" i="2"/>
  <c r="E12" i="2" s="1"/>
  <c r="F86" i="2"/>
  <c r="E119" i="2"/>
  <c r="F120" i="2" s="1"/>
  <c r="E106" i="2"/>
  <c r="F107" i="2" s="1"/>
  <c r="D138" i="2"/>
  <c r="E138" i="2" s="1"/>
  <c r="D139" i="2" s="1"/>
  <c r="E139" i="2" s="1"/>
  <c r="F74" i="2"/>
  <c r="E11" i="2" s="1"/>
  <c r="F184" i="2"/>
  <c r="E20" i="2" s="1"/>
  <c r="D62" i="2"/>
  <c r="E13" i="2" l="1"/>
  <c r="C26" i="8"/>
  <c r="C29" i="8" s="1"/>
  <c r="C33" i="8"/>
  <c r="E140" i="2"/>
  <c r="D141" i="2" s="1"/>
  <c r="E141" i="2" s="1"/>
  <c r="F142" i="2" s="1"/>
  <c r="E17" i="2" s="1"/>
  <c r="C154" i="2"/>
  <c r="D155" i="2" s="1"/>
  <c r="E155" i="2" s="1"/>
  <c r="E156" i="2" s="1"/>
  <c r="D157" i="2" s="1"/>
  <c r="E157" i="2" s="1"/>
  <c r="F158" i="2" s="1"/>
  <c r="F122" i="2"/>
  <c r="E14" i="2" s="1"/>
  <c r="C34" i="8" l="1"/>
  <c r="C62" i="2" s="1"/>
  <c r="E18" i="2"/>
  <c r="E16" i="2" s="1"/>
  <c r="F201" i="2"/>
  <c r="E15" i="2" s="1"/>
  <c r="C49" i="2" l="1"/>
  <c r="E49" i="2" s="1"/>
  <c r="E50" i="2" s="1"/>
  <c r="D51" i="2" s="1"/>
  <c r="E51" i="2" s="1"/>
  <c r="F52" i="2" s="1"/>
  <c r="E7" i="2" s="1"/>
  <c r="E62" i="2"/>
  <c r="E63" i="2" s="1"/>
  <c r="D64" i="2" s="1"/>
  <c r="E64" i="2" s="1"/>
  <c r="F65" i="2" s="1"/>
  <c r="E9" i="2" l="1"/>
  <c r="F88" i="2"/>
  <c r="F219" i="2" s="1"/>
  <c r="E6" i="2" l="1"/>
  <c r="D224" i="2"/>
  <c r="E224" i="2" s="1"/>
  <c r="F225" i="2" s="1"/>
  <c r="F227" i="2" s="1"/>
  <c r="E24" i="2" s="1"/>
  <c r="E25" i="2" l="1"/>
  <c r="F230" i="2"/>
  <c r="F10" i="2" l="1"/>
  <c r="F8" i="2"/>
  <c r="F6" i="2"/>
  <c r="F14" i="2"/>
  <c r="F7" i="2"/>
  <c r="F13" i="2"/>
  <c r="F15" i="2"/>
  <c r="F22" i="2"/>
  <c r="F21" i="2"/>
  <c r="F9" i="2"/>
  <c r="F16" i="2"/>
  <c r="F17" i="2"/>
  <c r="F18" i="2"/>
  <c r="F12" i="2"/>
  <c r="F19" i="2"/>
  <c r="F11" i="2"/>
  <c r="F23" i="2"/>
  <c r="F20" i="2"/>
  <c r="F24" i="2"/>
  <c r="F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6" authorId="0" shapeId="0" xr:uid="{00000000-0006-0000-0000-000003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49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51" authorId="0" shapeId="0" xr:uid="{00000000-0006-0000-0000-000008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57" authorId="0" shapeId="0" xr:uid="{00000000-0006-0000-0000-000011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58" authorId="0" shapeId="0" xr:uid="{00000000-0006-0000-0000-000012000000}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59" authorId="0" shapeId="0" xr:uid="{00000000-0006-0000-0000-000016000000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60" authorId="0" shapeId="0" xr:uid="{00000000-0006-0000-0000-000017000000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62" authorId="0" shapeId="0" xr:uid="{00000000-0006-0000-0000-000018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64" authorId="0" shapeId="0" xr:uid="{00000000-0006-0000-0000-000019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0" authorId="0" shapeId="0" xr:uid="{00000000-0006-0000-0000-000023000000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71" authorId="0" shapeId="0" xr:uid="{00000000-0006-0000-0000-000024000000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72" authorId="0" shapeId="0" xr:uid="{00000000-0006-0000-0000-000025000000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73" authorId="0" shapeId="0" xr:uid="{00000000-0006-0000-0000-000026000000}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78" authorId="0" shapeId="0" xr:uid="{00000000-0006-0000-0000-000027000000}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D79" authorId="0" shapeId="0" xr:uid="{00000000-0006-0000-0000-000028000000}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D84" authorId="0" shapeId="0" xr:uid="{00000000-0006-0000-0000-000029000000}">
      <text>
        <r>
          <rPr>
            <sz val="9"/>
            <color indexed="81"/>
            <rFont val="Tahoma"/>
            <family val="2"/>
          </rPr>
          <t>Informar o valor mensal do auxilio alimentação, considerando o desconto aplicável ao funcionário, conforme Convenção Coletiva da categoria</t>
        </r>
      </text>
    </comment>
    <comment ref="D85" authorId="0" shapeId="0" xr:uid="{00000000-0006-0000-0000-00002A000000}">
      <text>
        <r>
          <rPr>
            <sz val="9"/>
            <color indexed="81"/>
            <rFont val="Tahoma"/>
            <family val="2"/>
          </rPr>
          <t>Informar o valor mensal do auxilio alimentação, considerando o desconto aplicável ao funcionário, conforme Convenção Coletiva da categoria</t>
        </r>
      </text>
    </comment>
    <comment ref="C95" authorId="0" shapeId="0" xr:uid="{00000000-0006-0000-0000-00002B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5" authorId="0" shapeId="0" xr:uid="{00000000-0006-0000-0000-00002C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6" authorId="0" shapeId="0" xr:uid="{00000000-0006-0000-0000-00002D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6" authorId="0" shapeId="0" xr:uid="{00000000-0006-0000-0000-00002E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7" authorId="0" shapeId="0" xr:uid="{00000000-0006-0000-0000-00002F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7" authorId="0" shapeId="0" xr:uid="{00000000-0006-0000-0000-000030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8" authorId="0" shapeId="0" xr:uid="{00000000-0006-0000-0000-00003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8" authorId="0" shapeId="0" xr:uid="{00000000-0006-0000-0000-000032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9" authorId="0" shapeId="0" xr:uid="{00000000-0006-0000-0000-00003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9" authorId="0" shapeId="0" xr:uid="{00000000-0006-0000-0000-000034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0" authorId="0" shapeId="0" xr:uid="{00000000-0006-0000-0000-00003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0" authorId="0" shapeId="0" xr:uid="{00000000-0006-0000-0000-000036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1" authorId="0" shapeId="0" xr:uid="{00000000-0006-0000-0000-000037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1" authorId="0" shapeId="0" xr:uid="{00000000-0006-0000-0000-000038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2" authorId="0" shapeId="0" xr:uid="{00000000-0006-0000-0000-000039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2" authorId="0" shapeId="0" xr:uid="{00000000-0006-0000-0000-00003A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3" authorId="0" shapeId="0" xr:uid="{00000000-0006-0000-0000-00003B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3" authorId="0" shapeId="0" xr:uid="{00000000-0006-0000-0000-00003C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4" authorId="0" shapeId="0" xr:uid="{00000000-0006-0000-0000-00003D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4" authorId="0" shapeId="0" xr:uid="{00000000-0006-0000-0000-00003E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105" authorId="0" shapeId="0" xr:uid="{00000000-0006-0000-0000-00003F000000}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C112" authorId="0" shapeId="0" xr:uid="{00000000-0006-0000-0000-00004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3" authorId="0" shapeId="0" xr:uid="{00000000-0006-0000-0000-00004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4" authorId="0" shapeId="0" xr:uid="{00000000-0006-0000-0000-00004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5" authorId="0" shapeId="0" xr:uid="{00000000-0006-0000-0000-00004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6" authorId="0" shapeId="0" xr:uid="{00000000-0006-0000-0000-00004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7" authorId="0" shapeId="0" xr:uid="{00000000-0006-0000-0000-00004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18" authorId="0" shapeId="0" xr:uid="{00000000-0006-0000-0000-000046000000}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D130" authorId="0" shapeId="0" xr:uid="{00000000-0006-0000-0000-000047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31" authorId="0" shapeId="0" xr:uid="{00000000-0006-0000-0000-000048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32" authorId="0" shapeId="0" xr:uid="{00000000-0006-0000-0000-000049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33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35" authorId="0" shapeId="0" xr:uid="{00000000-0006-0000-0000-00004B000000}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136" authorId="0" shapeId="0" xr:uid="{00000000-0006-0000-0000-00004C000000}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C137" authorId="0" shapeId="0" xr:uid="{00000000-0006-0000-0000-00004D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138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1" authorId="0" shapeId="0" xr:uid="{00000000-0006-0000-0000-00004F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47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3" authorId="0" shapeId="0" xr:uid="{00000000-0006-0000-0000-000051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164" authorId="0" shapeId="0" xr:uid="{00000000-0006-0000-0000-000052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170" authorId="0" shapeId="0" xr:uid="{00000000-0006-0000-0000-000053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173" authorId="0" shapeId="0" xr:uid="{00000000-0006-0000-0000-000054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173" authorId="0" shapeId="0" xr:uid="{00000000-0006-0000-0000-000055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175" authorId="0" shapeId="0" xr:uid="{00000000-0006-0000-0000-000056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175" authorId="0" shapeId="0" xr:uid="{00000000-0006-0000-0000-000057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177" authorId="0" shapeId="0" xr:uid="{00000000-0006-0000-0000-000058000000}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177" authorId="0" shapeId="0" xr:uid="{00000000-0006-0000-0000-000059000000}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179" authorId="0" shapeId="0" xr:uid="{00000000-0006-0000-0000-00005A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179" authorId="0" shapeId="0" xr:uid="{00000000-0006-0000-0000-00005B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181" authorId="0" shapeId="0" xr:uid="{00000000-0006-0000-0000-00005C000000}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181" authorId="0" shapeId="0" xr:uid="{00000000-0006-0000-0000-00005D000000}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188" authorId="0" shapeId="0" xr:uid="{00000000-0006-0000-0000-00005E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193" authorId="0" shapeId="0" xr:uid="{00000000-0006-0000-0000-00005F000000}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193" authorId="0" shapeId="0" xr:uid="{00000000-0006-0000-0000-000060000000}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194" authorId="0" shapeId="0" xr:uid="{00000000-0006-0000-0000-000061000000}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195" authorId="0" shapeId="0" xr:uid="{00000000-0006-0000-0000-000062000000}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196" authorId="0" shapeId="0" xr:uid="{00000000-0006-0000-0000-000063000000}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C206" authorId="0" shapeId="0" xr:uid="{00000000-0006-0000-0000-000064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06" authorId="0" shapeId="0" xr:uid="{00000000-0006-0000-0000-000065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07" authorId="0" shapeId="0" xr:uid="{00000000-0006-0000-0000-000066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07" authorId="0" shapeId="0" xr:uid="{00000000-0006-0000-0000-000067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08" authorId="0" shapeId="0" xr:uid="{00000000-0006-0000-0000-000068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08" authorId="0" shapeId="0" xr:uid="{00000000-0006-0000-0000-000069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09" authorId="0" shapeId="0" xr:uid="{00000000-0006-0000-0000-00006A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09" authorId="0" shapeId="0" xr:uid="{00000000-0006-0000-0000-00006B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10" authorId="0" shapeId="0" xr:uid="{00000000-0006-0000-0000-00006C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10" authorId="0" shapeId="0" xr:uid="{00000000-0006-0000-0000-00006D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A215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24" authorId="0" shapeId="0" xr:uid="{00000000-0006-0000-0000-000071000000}">
      <text>
        <r>
          <rPr>
            <sz val="9"/>
            <color indexed="81"/>
            <rFont val="Tahoma"/>
            <family val="2"/>
          </rPr>
          <t>Preencher a aba 4.BDI</t>
        </r>
      </text>
    </comment>
    <comment ref="D233" authorId="0" shapeId="0" xr:uid="{036994EA-FD8A-4536-B59E-73B8E3AFE5CF}">
      <text>
        <r>
          <rPr>
            <sz val="9"/>
            <color indexed="81"/>
            <rFont val="Tahoma"/>
            <family val="2"/>
          </rPr>
          <t xml:space="preserve">Informar a quantidade média coletada nos últimos 12 meses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C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2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Informar o valor anual da taxa financeira, em percentual. Admite-se utilizar a SELIC</t>
        </r>
      </text>
    </comment>
    <comment ref="C13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cbridi</author>
    <author>Clauber Bridi</author>
    <author>Omar</author>
  </authors>
  <commentList>
    <comment ref="C12" authorId="0" shapeId="0" xr:uid="{00000000-0006-0000-0600-000001000000}">
      <text>
        <r>
          <rPr>
            <sz val="8"/>
            <color indexed="81"/>
            <rFont val="Tahoma"/>
            <family val="2"/>
          </rPr>
          <t>Informar a população do município a ser atendida</t>
        </r>
      </text>
    </comment>
    <comment ref="C13" authorId="1" shapeId="0" xr:uid="{00000000-0006-0000-0600-000002000000}">
      <text>
        <r>
          <rPr>
            <b/>
            <sz val="9"/>
            <color indexed="81"/>
            <rFont val="Tahoma"/>
            <family val="2"/>
          </rPr>
          <t>Caso o município possua informações de pesagem, ajustar com o valor da geração média per capita realizada nos últimos 12 meses</t>
        </r>
      </text>
    </comment>
    <comment ref="C14" authorId="2" shapeId="0" xr:uid="{00000000-0006-0000-0600-000003000000}">
      <text>
        <r>
          <rPr>
            <sz val="9"/>
            <color indexed="81"/>
            <rFont val="Tahoma"/>
            <family val="2"/>
          </rPr>
          <t>retorna a geração diária a ser recolhida</t>
        </r>
      </text>
    </comment>
    <comment ref="C16" authorId="0" shapeId="0" xr:uid="{00000000-0006-0000-0600-000004000000}">
      <text>
        <r>
          <rPr>
            <b/>
            <sz val="8"/>
            <color indexed="81"/>
            <rFont val="Tahoma"/>
            <charset val="1"/>
          </rPr>
          <t>Informe o número de dias de coleta por semana</t>
        </r>
      </text>
    </comment>
    <comment ref="C19" authorId="0" shapeId="0" xr:uid="{00000000-0006-0000-0600-000005000000}">
      <text>
        <r>
          <rPr>
            <sz val="8"/>
            <color indexed="81"/>
            <rFont val="Tahoma"/>
            <family val="2"/>
          </rPr>
          <t>Informar 1 para caminhão toco; Informar 2 para caminhão truck</t>
        </r>
        <r>
          <rPr>
            <b/>
            <sz val="8"/>
            <color indexed="81"/>
            <rFont val="Tahoma"/>
            <family val="2"/>
          </rPr>
          <t xml:space="preserve"> </t>
        </r>
      </text>
    </comment>
    <comment ref="C20" authorId="0" shapeId="0" xr:uid="{00000000-0006-0000-0600-000006000000}">
      <text>
        <r>
          <rPr>
            <sz val="8"/>
            <color indexed="81"/>
            <rFont val="Tahoma"/>
            <family val="2"/>
          </rPr>
          <t>Informar a capacidade do compactador em m³</t>
        </r>
      </text>
    </comment>
    <comment ref="C23" authorId="1" shapeId="0" xr:uid="{00000000-0006-0000-0600-000007000000}">
      <text>
        <r>
          <rPr>
            <sz val="8"/>
            <color indexed="81"/>
            <rFont val="Tahoma"/>
            <family val="2"/>
          </rPr>
          <t xml:space="preserve">Informar o número de percursos de coleta (cargas) que cada caminhão realiza por dia, considerando todos os turnos de trabalho. </t>
        </r>
      </text>
    </comment>
  </commentList>
</comments>
</file>

<file path=xl/sharedStrings.xml><?xml version="1.0" encoding="utf-8"?>
<sst xmlns="http://schemas.openxmlformats.org/spreadsheetml/2006/main" count="478" uniqueCount="294">
  <si>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</si>
  <si>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</si>
  <si>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</si>
  <si>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</si>
  <si>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</si>
  <si>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</si>
  <si>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</si>
  <si>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</si>
  <si>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</si>
  <si>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</si>
  <si>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</si>
  <si>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</si>
  <si>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</si>
  <si>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</si>
  <si>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</si>
  <si>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</si>
  <si>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</si>
  <si>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</si>
  <si>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</si>
  <si>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</si>
  <si>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</si>
  <si>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</si>
  <si>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</si>
  <si>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</si>
  <si>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</si>
  <si>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Pá de Concha</t>
  </si>
  <si>
    <t>Vassoura</t>
  </si>
  <si>
    <t>Calça</t>
  </si>
  <si>
    <t>Camiseta</t>
  </si>
  <si>
    <t>Boné</t>
  </si>
  <si>
    <t>Luva de proteção</t>
  </si>
  <si>
    <t>R$</t>
  </si>
  <si>
    <t>Benefícios e despesas indiretas</t>
  </si>
  <si>
    <t>Custo (R$/mês)</t>
  </si>
  <si>
    <t>Mão-de-obra</t>
  </si>
  <si>
    <t>Quantidade</t>
  </si>
  <si>
    <t>INSS</t>
  </si>
  <si>
    <t>FGTS</t>
  </si>
  <si>
    <t>Planilha de Composição de Custos</t>
  </si>
  <si>
    <t>Motorista</t>
  </si>
  <si>
    <t>2. Uniformes e Equipamentos de Proteção Individual</t>
  </si>
  <si>
    <t>3.1.1. Depreciação</t>
  </si>
  <si>
    <t>1. Mão-de-obra</t>
  </si>
  <si>
    <t>par</t>
  </si>
  <si>
    <t>frasco 120g</t>
  </si>
  <si>
    <t>Depreciação mensal veículos coletores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</si>
  <si>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</si>
  <si>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</si>
  <si>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</si>
  <si>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</si>
  <si>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</si>
  <si>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</si>
  <si>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Publicidade (adesivos equipamentos)</t>
  </si>
  <si>
    <t>cj</t>
  </si>
  <si>
    <t>Total de mão-de-obra (postos de trabalho)</t>
  </si>
  <si>
    <t>Publicidade (adesivos veículos)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</si>
  <si>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</si>
  <si>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</si>
  <si>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</si>
  <si>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</si>
  <si>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</si>
  <si>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</si>
  <si>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</si>
  <si>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</si>
  <si>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Botina de segurança c/ palmilha aço</t>
  </si>
  <si>
    <t>Custo de recapagem</t>
  </si>
  <si>
    <t>Recipiente térmico para água (5L)</t>
  </si>
  <si>
    <t>Total por Coletor</t>
  </si>
  <si>
    <t>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</si>
  <si>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</si>
  <si>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</si>
  <si>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</si>
  <si>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</si>
  <si>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</si>
  <si>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</si>
  <si>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</si>
  <si>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</si>
  <si>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</si>
  <si>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</si>
  <si>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</si>
  <si>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</si>
  <si>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</si>
  <si>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</si>
  <si>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</si>
  <si>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</si>
  <si>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6. Benefícios e Despesas Indiretas - BDI</t>
  </si>
  <si>
    <t>1.2. Coletor Turno Noite</t>
  </si>
  <si>
    <t>Vale Transporte</t>
  </si>
  <si>
    <t>Dias Trabalhados por mês</t>
  </si>
  <si>
    <t>dia</t>
  </si>
  <si>
    <t>Custo Mensal com Mão-de-obra (R$/mês)</t>
  </si>
  <si>
    <t>Meia de algodão com cano alto</t>
  </si>
  <si>
    <t>Quantitativos</t>
  </si>
  <si>
    <t>1.1. Coletor Turno Dia</t>
  </si>
  <si>
    <t>1.3. Motorista Turno do Dia</t>
  </si>
  <si>
    <t>1.4. Motorista Turno Noite</t>
  </si>
  <si>
    <t>1.5. Vale Transporte</t>
  </si>
  <si>
    <t>Vida útil do chassis</t>
  </si>
  <si>
    <t>anos</t>
  </si>
  <si>
    <t>Vida útil do compactador</t>
  </si>
  <si>
    <t>Depreciação do compactador</t>
  </si>
  <si>
    <t>Depreciação do chassis</t>
  </si>
  <si>
    <t>Custo de aquisição do compactador</t>
  </si>
  <si>
    <t>Custo de aquisição do chassis</t>
  </si>
  <si>
    <t>Depreciação mensal do compactador</t>
  </si>
  <si>
    <t>i = taxa de juros do mercado (sugere-se adotar a taxa SELIC)</t>
  </si>
  <si>
    <t>n = vida útil do bem em anos</t>
  </si>
  <si>
    <t>Custo do chassis</t>
  </si>
  <si>
    <t>Custo do compactador</t>
  </si>
  <si>
    <t>3.1.2. Remuneração do Capital</t>
  </si>
  <si>
    <t>Im = investimento médio</t>
  </si>
  <si>
    <t>Remuneração mensal de capital do compactador</t>
  </si>
  <si>
    <t>Investimento médio total do chassis</t>
  </si>
  <si>
    <t>Remuneração mensal de capital do chassis</t>
  </si>
  <si>
    <t>Investimento médio total do compactador</t>
  </si>
  <si>
    <t>Custo de manutenção dos caminhões</t>
  </si>
  <si>
    <t>Quilometragem mensal</t>
  </si>
  <si>
    <t>R$/km rodado</t>
  </si>
  <si>
    <t>Número de recapagens por pneu</t>
  </si>
  <si>
    <t>1.6. Vale-refeição (diário)</t>
  </si>
  <si>
    <t>1.7. Auxílio Alimentação (mensal)</t>
  </si>
  <si>
    <t>R$ mensal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</si>
  <si>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</si>
  <si>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</si>
  <si>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</si>
  <si>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</si>
  <si>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</si>
  <si>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</si>
  <si>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</si>
  <si>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</si>
  <si>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</si>
  <si>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</si>
  <si>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</si>
  <si>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</si>
  <si>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Dias ano</t>
  </si>
  <si>
    <t>Estoque Médio</t>
  </si>
  <si>
    <t>Multa FGTS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</si>
  <si>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</si>
  <si>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</si>
  <si>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</si>
  <si>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</si>
  <si>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</si>
  <si>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</si>
  <si>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</si>
  <si>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</si>
  <si>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</si>
  <si>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</si>
  <si>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</si>
  <si>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</si>
  <si>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</si>
  <si>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</si>
  <si>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</si>
  <si>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</si>
  <si>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</si>
  <si>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</si>
  <si>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</si>
  <si>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</si>
  <si>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</si>
  <si>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</si>
  <si>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</si>
  <si>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</si>
  <si>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</si>
  <si>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</si>
  <si>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</si>
  <si>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</si>
  <si>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</si>
  <si>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</si>
  <si>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</si>
  <si>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</si>
  <si>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</si>
  <si>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</si>
  <si>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</si>
  <si>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</si>
  <si>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</si>
  <si>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</si>
  <si>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</si>
  <si>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</si>
  <si>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</si>
  <si>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</si>
  <si>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</si>
  <si>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</si>
  <si>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</si>
  <si>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</si>
  <si>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</si>
  <si>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D</t>
  </si>
  <si>
    <t>SOMA GRUPO D</t>
  </si>
  <si>
    <t>SOMA (A+B+C+D)</t>
  </si>
  <si>
    <t>1° Quartil</t>
  </si>
  <si>
    <t>Médio</t>
  </si>
  <si>
    <t>3° Quartil</t>
  </si>
  <si>
    <t>DU</t>
  </si>
  <si>
    <t>Licenciamento e Seguro obrigatório</t>
  </si>
  <si>
    <t>Fator de utilização</t>
  </si>
  <si>
    <t>Fator de utilização (FU)</t>
  </si>
  <si>
    <t>2.1. Uniformes e EPIs para Coletor</t>
  </si>
  <si>
    <t>Higienização de uniformes e EPIs</t>
  </si>
  <si>
    <t>2.2. Uniformes e EPIs para demais categorias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</si>
  <si>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</si>
  <si>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</si>
  <si>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</si>
  <si>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</si>
  <si>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</si>
  <si>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Rio Grande do Sul  - Coleta de Resíduos Não-Perigosos - CNAE 38114</t>
  </si>
  <si>
    <t>Idade do veículo (ano)</t>
  </si>
  <si>
    <t>Idade do veículo</t>
  </si>
  <si>
    <t>Idade do compactador</t>
  </si>
  <si>
    <t>Valor do veículo proposto (V0)</t>
  </si>
  <si>
    <t>Valor do compactador proposto (V0)</t>
  </si>
  <si>
    <t>Taxa de juros anual nominal</t>
  </si>
  <si>
    <t>Piso da categoria</t>
  </si>
  <si>
    <t>Base de cálculo da Insalubridade</t>
  </si>
  <si>
    <t>C2</t>
  </si>
  <si>
    <t>B3</t>
  </si>
  <si>
    <t xml:space="preserve">1. Coleta de Resíduos Sólidos 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</si>
  <si>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</si>
  <si>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</si>
  <si>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</si>
  <si>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</si>
  <si>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</si>
  <si>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</si>
  <si>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</si>
  <si>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</si>
  <si>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</si>
  <si>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</si>
  <si>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</si>
  <si>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</si>
  <si>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</si>
  <si>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</si>
  <si>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de óleo da transmissão /1.000 km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</si>
  <si>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</si>
  <si>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</si>
  <si>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</si>
  <si>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</si>
  <si>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</si>
  <si>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</si>
  <si>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</si>
  <si>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</si>
  <si>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</si>
  <si>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</si>
  <si>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</si>
  <si>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</si>
  <si>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Total por Motorista</t>
  </si>
  <si>
    <t>Durabilidade (meses)</t>
  </si>
  <si>
    <t>Custo com consumos/km rodado</t>
  </si>
  <si>
    <t>Consumo</t>
  </si>
  <si>
    <t>Total por veículo</t>
  </si>
  <si>
    <t>Total da frota</t>
  </si>
  <si>
    <t>1. Esta planilha é somente um modelo de cálculo expedito e deve ser ajustada conforme cada caso concreto.</t>
  </si>
  <si>
    <t>Unid</t>
  </si>
  <si>
    <t>hab</t>
  </si>
  <si>
    <t>ton</t>
  </si>
  <si>
    <t>Densidade RSU compactado</t>
  </si>
  <si>
    <t>Kg/m³</t>
  </si>
  <si>
    <t>m³</t>
  </si>
  <si>
    <t>Kg/hab.dia</t>
  </si>
  <si>
    <t>ton/dia</t>
  </si>
  <si>
    <t>População (H)</t>
  </si>
  <si>
    <t>Geração per capita (G)</t>
  </si>
  <si>
    <t>Geração total diária (Qd)</t>
  </si>
  <si>
    <t>Quantitativo diário de coleta (Qc)</t>
  </si>
  <si>
    <t>Número de dias de coleta por semana (Dc)</t>
  </si>
  <si>
    <t>Capacidade nominal de carga (Cc)</t>
  </si>
  <si>
    <t>Número de Cargas por dia (Nc)</t>
  </si>
  <si>
    <t>Número de veículos da Frota (F)</t>
  </si>
  <si>
    <t>Geração Mensal</t>
  </si>
  <si>
    <t>Tipo de Veículo (1 = toco, 2 = truck)</t>
  </si>
  <si>
    <t>Capacidade do Compactador</t>
  </si>
  <si>
    <t>7. Dimensionamento da frota</t>
  </si>
  <si>
    <t>Indicador</t>
  </si>
  <si>
    <t>Número total de percursos de coleta por veículo, por dia (Np)</t>
  </si>
  <si>
    <t>i</t>
  </si>
  <si>
    <t>3. Preencher somente células em amarelo</t>
  </si>
  <si>
    <t>Depreciação Média</t>
  </si>
  <si>
    <t>2. Dimensionar separadamente setores atendidos por veículos de capacidade de carga diferentes.</t>
  </si>
  <si>
    <t>Reincidência de FGTS sobre aviso prévio indenizado</t>
  </si>
  <si>
    <t>O orçamento deve ser realizado por responsável técnico habilitado e é de responsabilidade do seu autor.</t>
  </si>
  <si>
    <t>Piso da categoria (2)</t>
  </si>
  <si>
    <t>Salário mínimo nacional (1)</t>
  </si>
  <si>
    <t>O TCE/RS não se responsabiliza pelo uso incorreto desta planilha.</t>
  </si>
  <si>
    <t>% Demitidos s/ Justa Causa em relação ao Estoque Médio</t>
  </si>
  <si>
    <t>Taxa de Rotatividade</t>
  </si>
  <si>
    <t>Acordo</t>
  </si>
  <si>
    <t>Variação Emprego Absoluta de 01-01-2019 a 31-12-2019</t>
  </si>
  <si>
    <t>Estoque recuperado início do Período 01-01-2019</t>
  </si>
  <si>
    <t>Estoque recuperado final do Período 31-12-2019</t>
  </si>
  <si>
    <t>Ajustado, de acordo com a nova Lei Federal nº 13.932/2019</t>
  </si>
  <si>
    <r>
      <t>3.1. Veículo Coletor Compactador</t>
    </r>
    <r>
      <rPr>
        <sz val="10"/>
        <color indexed="10"/>
        <rFont val="Arial"/>
        <family val="2"/>
      </rPr>
      <t xml:space="preserve"> 15</t>
    </r>
    <r>
      <rPr>
        <sz val="10"/>
        <rFont val="Arial"/>
        <family val="2"/>
      </rPr>
      <t xml:space="preserve"> m³</t>
    </r>
  </si>
  <si>
    <r>
      <t>Custo jg. compl. + 1</t>
    </r>
    <r>
      <rPr>
        <sz val="10"/>
        <rFont val="Arial"/>
        <family val="2"/>
      </rPr>
      <t xml:space="preserve"> recap./ km rodado</t>
    </r>
  </si>
  <si>
    <t>1.2 Coletor Turno Noite</t>
  </si>
  <si>
    <t>Custo do jogo de pneus 295/80 R22,5</t>
  </si>
  <si>
    <t xml:space="preserve">Quantidade média de resíduos coletados por mês: </t>
  </si>
  <si>
    <t>toneladas</t>
  </si>
  <si>
    <t>PREÇO POR TONELADA COLETADA:  [A/B]</t>
  </si>
  <si>
    <t>R$/tonelada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</si>
</sst>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-* #,##0.000_-;\-* #,##0.000_-;_-* &quot;-&quot;??_-;_-@_-"/>
    <numFmt numFmtId="171" formatCode="_-* #,##0.00_-;\-* #,##0.00_-;_-* &quot;-&quot;?_-;_-@_-"/>
    <numFmt numFmtId="172" formatCode="_-* #,##0_-;\-* #,##0_-;_-* &quot;-&quot;?_-;_-@_-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81"/>
      <name val="Tahoma"/>
      <charset val="1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42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2" xfId="3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3" fillId="2" borderId="4" xfId="3" applyFont="1" applyFill="1" applyBorder="1" applyAlignment="1">
      <alignment horizontal="center" vertical="center"/>
    </xf>
    <xf numFmtId="165" fontId="3" fillId="2" borderId="4" xfId="3" applyFont="1" applyFill="1" applyBorder="1" applyAlignment="1">
      <alignment vertical="center"/>
    </xf>
    <xf numFmtId="165" fontId="3" fillId="0" borderId="0" xfId="3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3" fillId="0" borderId="6" xfId="3" applyFont="1" applyBorder="1" applyAlignment="1">
      <alignment vertical="center"/>
    </xf>
    <xf numFmtId="165" fontId="3" fillId="0" borderId="7" xfId="3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5" fontId="6" fillId="0" borderId="6" xfId="3" applyFont="1" applyBorder="1" applyAlignment="1">
      <alignment vertical="center"/>
    </xf>
    <xf numFmtId="165" fontId="6" fillId="0" borderId="7" xfId="3" applyFont="1" applyBorder="1" applyAlignment="1">
      <alignment vertical="center"/>
    </xf>
    <xf numFmtId="165" fontId="3" fillId="0" borderId="0" xfId="3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3" fillId="0" borderId="0" xfId="3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5" fontId="3" fillId="0" borderId="0" xfId="3" applyFont="1" applyBorder="1" applyAlignment="1">
      <alignment vertical="center"/>
    </xf>
    <xf numFmtId="165" fontId="5" fillId="0" borderId="0" xfId="3" applyFont="1" applyAlignment="1">
      <alignment vertical="center"/>
    </xf>
    <xf numFmtId="166" fontId="6" fillId="0" borderId="1" xfId="3" applyNumberFormat="1" applyFont="1" applyBorder="1" applyAlignment="1">
      <alignment vertical="center"/>
    </xf>
    <xf numFmtId="165" fontId="6" fillId="0" borderId="0" xfId="3" applyFont="1"/>
    <xf numFmtId="165" fontId="4" fillId="0" borderId="0" xfId="3" applyFont="1" applyAlignment="1">
      <alignment vertical="center"/>
    </xf>
    <xf numFmtId="165" fontId="0" fillId="0" borderId="9" xfId="3" applyFont="1" applyBorder="1" applyAlignment="1">
      <alignment vertical="center"/>
    </xf>
    <xf numFmtId="165" fontId="3" fillId="0" borderId="10" xfId="3" applyFont="1" applyBorder="1" applyAlignment="1">
      <alignment horizontal="center" vertical="center"/>
    </xf>
    <xf numFmtId="165" fontId="3" fillId="0" borderId="5" xfId="3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Continuous" vertical="center"/>
    </xf>
    <xf numFmtId="165" fontId="3" fillId="0" borderId="0" xfId="3" applyFont="1" applyAlignment="1">
      <alignment vertical="center"/>
    </xf>
    <xf numFmtId="165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centerContinuous" vertical="center"/>
    </xf>
    <xf numFmtId="165" fontId="0" fillId="0" borderId="8" xfId="3" applyFont="1" applyBorder="1" applyAlignment="1">
      <alignment vertical="center"/>
    </xf>
    <xf numFmtId="165" fontId="3" fillId="0" borderId="11" xfId="3" applyFont="1" applyBorder="1" applyAlignment="1">
      <alignment horizontal="right" vertical="center"/>
    </xf>
    <xf numFmtId="165" fontId="0" fillId="0" borderId="12" xfId="3" applyFont="1" applyBorder="1" applyAlignment="1">
      <alignment vertical="center"/>
    </xf>
    <xf numFmtId="165" fontId="6" fillId="0" borderId="1" xfId="3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165" fontId="6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5" fontId="4" fillId="0" borderId="0" xfId="3" applyFont="1" applyBorder="1" applyAlignment="1">
      <alignment vertical="center"/>
    </xf>
    <xf numFmtId="10" fontId="0" fillId="0" borderId="13" xfId="2" applyNumberFormat="1" applyFont="1" applyBorder="1" applyAlignment="1">
      <alignment vertical="center"/>
    </xf>
    <xf numFmtId="165" fontId="6" fillId="0" borderId="0" xfId="3" applyFont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165" fontId="11" fillId="2" borderId="15" xfId="3" applyFont="1" applyFill="1" applyBorder="1" applyAlignment="1">
      <alignment horizontal="center" vertical="center"/>
    </xf>
    <xf numFmtId="165" fontId="11" fillId="2" borderId="16" xfId="3" applyFont="1" applyFill="1" applyBorder="1" applyAlignment="1">
      <alignment horizontal="center" vertical="center"/>
    </xf>
    <xf numFmtId="165" fontId="3" fillId="0" borderId="17" xfId="3" applyFont="1" applyBorder="1" applyAlignment="1">
      <alignment horizontal="center" vertical="center"/>
    </xf>
    <xf numFmtId="165" fontId="1" fillId="0" borderId="12" xfId="3" applyFont="1" applyBorder="1" applyAlignment="1">
      <alignment horizontal="left" vertical="center"/>
    </xf>
    <xf numFmtId="165" fontId="6" fillId="0" borderId="8" xfId="3" applyFont="1" applyBorder="1" applyAlignment="1">
      <alignment vertical="center"/>
    </xf>
    <xf numFmtId="165" fontId="6" fillId="0" borderId="12" xfId="3" applyFont="1" applyBorder="1" applyAlignment="1">
      <alignment vertical="center"/>
    </xf>
    <xf numFmtId="166" fontId="6" fillId="0" borderId="0" xfId="3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8" xfId="3" applyNumberFormat="1" applyFont="1" applyBorder="1" applyAlignment="1">
      <alignment horizontal="center" vertical="center"/>
    </xf>
    <xf numFmtId="165" fontId="3" fillId="0" borderId="26" xfId="3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165" fontId="6" fillId="0" borderId="17" xfId="3" applyFont="1" applyBorder="1" applyAlignment="1">
      <alignment vertical="center"/>
    </xf>
    <xf numFmtId="165" fontId="6" fillId="0" borderId="9" xfId="3" applyFont="1" applyBorder="1" applyAlignment="1">
      <alignment vertical="center"/>
    </xf>
    <xf numFmtId="0" fontId="0" fillId="0" borderId="9" xfId="0" applyBorder="1" applyAlignment="1">
      <alignment vertical="center"/>
    </xf>
    <xf numFmtId="1" fontId="6" fillId="0" borderId="10" xfId="3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7" xfId="0" applyBorder="1" applyAlignment="1">
      <alignment vertical="center"/>
    </xf>
    <xf numFmtId="1" fontId="3" fillId="0" borderId="29" xfId="3" applyNumberFormat="1" applyFont="1" applyBorder="1" applyAlignment="1">
      <alignment horizontal="center" vertical="center"/>
    </xf>
    <xf numFmtId="165" fontId="6" fillId="0" borderId="1" xfId="3" applyFont="1" applyFill="1" applyBorder="1" applyAlignment="1">
      <alignment horizontal="center" vertical="center"/>
    </xf>
    <xf numFmtId="165" fontId="10" fillId="0" borderId="0" xfId="3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2" xfId="3" applyFont="1" applyFill="1" applyBorder="1" applyAlignment="1">
      <alignment horizontal="center" vertical="center"/>
    </xf>
    <xf numFmtId="165" fontId="6" fillId="3" borderId="1" xfId="3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5" fontId="6" fillId="3" borderId="0" xfId="3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1" xfId="3" applyNumberFormat="1" applyFont="1" applyBorder="1" applyAlignment="1">
      <alignment horizontal="center" vertical="center"/>
    </xf>
    <xf numFmtId="165" fontId="6" fillId="3" borderId="1" xfId="3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167" fontId="6" fillId="3" borderId="2" xfId="3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13" fontId="6" fillId="3" borderId="1" xfId="0" applyNumberFormat="1" applyFont="1" applyFill="1" applyBorder="1" applyAlignment="1">
      <alignment horizontal="center" vertical="center"/>
    </xf>
    <xf numFmtId="166" fontId="6" fillId="0" borderId="1" xfId="3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3" applyFont="1" applyBorder="1" applyAlignment="1">
      <alignment horizontal="center" vertical="center"/>
    </xf>
    <xf numFmtId="165" fontId="6" fillId="0" borderId="2" xfId="3" applyFont="1" applyFill="1" applyBorder="1" applyAlignment="1">
      <alignment horizontal="center" vertical="center"/>
    </xf>
    <xf numFmtId="0" fontId="8" fillId="0" borderId="0" xfId="1" applyAlignment="1" applyProtection="1">
      <alignment vertical="center"/>
    </xf>
    <xf numFmtId="0" fontId="3" fillId="0" borderId="0" xfId="0" applyFont="1"/>
    <xf numFmtId="0" fontId="11" fillId="2" borderId="30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165" fontId="11" fillId="2" borderId="31" xfId="3" applyFont="1" applyFill="1" applyBorder="1" applyAlignment="1">
      <alignment horizontal="center" vertical="center"/>
    </xf>
    <xf numFmtId="165" fontId="6" fillId="0" borderId="0" xfId="3" applyFont="1" applyFill="1" applyAlignment="1">
      <alignment vertical="center"/>
    </xf>
    <xf numFmtId="165" fontId="3" fillId="0" borderId="1" xfId="3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5" fontId="3" fillId="0" borderId="33" xfId="3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0" xfId="3" applyFont="1" applyAlignment="1">
      <alignment horizontal="center" vertical="center"/>
    </xf>
    <xf numFmtId="165" fontId="3" fillId="0" borderId="3" xfId="3" applyFon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6" fillId="0" borderId="0" xfId="3" applyFont="1" applyAlignment="1">
      <alignment horizontal="right" vertical="center"/>
    </xf>
    <xf numFmtId="165" fontId="3" fillId="2" borderId="7" xfId="3" applyFont="1" applyFill="1" applyBorder="1" applyAlignment="1">
      <alignment horizontal="center" vertical="center"/>
    </xf>
    <xf numFmtId="165" fontId="3" fillId="0" borderId="12" xfId="3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8" xfId="3" applyFont="1" applyBorder="1" applyAlignment="1">
      <alignment vertical="center"/>
    </xf>
    <xf numFmtId="10" fontId="3" fillId="0" borderId="13" xfId="2" applyNumberFormat="1" applyFont="1" applyBorder="1" applyAlignment="1">
      <alignment vertical="center"/>
    </xf>
    <xf numFmtId="165" fontId="3" fillId="0" borderId="36" xfId="3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165" fontId="6" fillId="0" borderId="37" xfId="3" applyFont="1" applyBorder="1" applyAlignment="1">
      <alignment vertical="center"/>
    </xf>
    <xf numFmtId="165" fontId="6" fillId="0" borderId="38" xfId="3" applyFont="1" applyBorder="1" applyAlignment="1">
      <alignment vertical="center"/>
    </xf>
    <xf numFmtId="165" fontId="6" fillId="0" borderId="39" xfId="3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1" fontId="6" fillId="0" borderId="35" xfId="3" applyNumberFormat="1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Continuous" vertical="center"/>
    </xf>
    <xf numFmtId="4" fontId="0" fillId="0" borderId="0" xfId="0" applyNumberForma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5" fontId="6" fillId="6" borderId="1" xfId="3" applyFont="1" applyFill="1" applyBorder="1" applyAlignment="1">
      <alignment horizontal="center" vertical="center"/>
    </xf>
    <xf numFmtId="165" fontId="6" fillId="6" borderId="1" xfId="3" applyFont="1" applyFill="1" applyBorder="1" applyAlignment="1">
      <alignment vertical="center"/>
    </xf>
    <xf numFmtId="9" fontId="3" fillId="0" borderId="16" xfId="2" applyFont="1" applyBorder="1" applyAlignment="1">
      <alignment vertical="center"/>
    </xf>
    <xf numFmtId="10" fontId="6" fillId="0" borderId="13" xfId="2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0" fillId="0" borderId="36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5" fontId="0" fillId="0" borderId="0" xfId="3" applyFont="1" applyFill="1" applyBorder="1" applyAlignment="1">
      <alignment vertical="center"/>
    </xf>
    <xf numFmtId="165" fontId="0" fillId="0" borderId="37" xfId="3" applyFont="1" applyFill="1" applyBorder="1" applyAlignment="1">
      <alignment vertical="center"/>
    </xf>
    <xf numFmtId="166" fontId="3" fillId="0" borderId="0" xfId="3" applyNumberFormat="1" applyFont="1" applyBorder="1" applyAlignment="1">
      <alignment horizontal="center" vertical="center"/>
    </xf>
    <xf numFmtId="0" fontId="16" fillId="0" borderId="12" xfId="0" applyFont="1" applyBorder="1"/>
    <xf numFmtId="0" fontId="6" fillId="0" borderId="0" xfId="0" applyFont="1" applyBorder="1"/>
    <xf numFmtId="0" fontId="16" fillId="0" borderId="45" xfId="0" applyFont="1" applyBorder="1"/>
    <xf numFmtId="0" fontId="16" fillId="3" borderId="18" xfId="0" applyFont="1" applyFill="1" applyBorder="1"/>
    <xf numFmtId="0" fontId="16" fillId="0" borderId="21" xfId="0" applyFont="1" applyBorder="1"/>
    <xf numFmtId="0" fontId="16" fillId="0" borderId="46" xfId="0" applyFont="1" applyBorder="1"/>
    <xf numFmtId="0" fontId="16" fillId="0" borderId="18" xfId="0" applyFont="1" applyBorder="1"/>
    <xf numFmtId="0" fontId="16" fillId="0" borderId="26" xfId="0" applyFont="1" applyBorder="1"/>
    <xf numFmtId="2" fontId="17" fillId="7" borderId="1" xfId="0" applyNumberFormat="1" applyFont="1" applyFill="1" applyBorder="1" applyAlignment="1">
      <alignment horizontal="right"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2" fontId="17" fillId="7" borderId="34" xfId="0" applyNumberFormat="1" applyFont="1" applyFill="1" applyBorder="1" applyAlignment="1">
      <alignment horizontal="right" vertical="center"/>
    </xf>
    <xf numFmtId="0" fontId="17" fillId="0" borderId="2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10" fontId="17" fillId="0" borderId="18" xfId="0" applyNumberFormat="1" applyFont="1" applyBorder="1" applyAlignment="1">
      <alignment horizontal="right" vertical="center"/>
    </xf>
    <xf numFmtId="0" fontId="17" fillId="0" borderId="0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10" fontId="21" fillId="0" borderId="18" xfId="0" applyNumberFormat="1" applyFont="1" applyBorder="1" applyAlignment="1">
      <alignment horizontal="right" vertical="center"/>
    </xf>
    <xf numFmtId="0" fontId="17" fillId="5" borderId="21" xfId="0" applyFont="1" applyFill="1" applyBorder="1" applyAlignment="1">
      <alignment horizontal="left" vertical="center"/>
    </xf>
    <xf numFmtId="0" fontId="21" fillId="5" borderId="1" xfId="0" applyFont="1" applyFill="1" applyBorder="1" applyAlignment="1">
      <alignment horizontal="left" vertical="center"/>
    </xf>
    <xf numFmtId="10" fontId="21" fillId="5" borderId="18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10" fontId="6" fillId="0" borderId="0" xfId="0" applyNumberFormat="1" applyFont="1"/>
    <xf numFmtId="9" fontId="17" fillId="0" borderId="0" xfId="2" applyFont="1" applyBorder="1" applyAlignment="1">
      <alignment horizontal="right" vertical="center"/>
    </xf>
    <xf numFmtId="10" fontId="6" fillId="0" borderId="0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17" fillId="9" borderId="22" xfId="0" applyFont="1" applyFill="1" applyBorder="1" applyAlignment="1">
      <alignment horizontal="left" vertical="center"/>
    </xf>
    <xf numFmtId="0" fontId="21" fillId="9" borderId="34" xfId="0" applyFont="1" applyFill="1" applyBorder="1" applyAlignment="1">
      <alignment horizontal="left" vertical="center"/>
    </xf>
    <xf numFmtId="10" fontId="21" fillId="9" borderId="35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left" vertical="center"/>
    </xf>
    <xf numFmtId="10" fontId="21" fillId="0" borderId="0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left" vertical="center"/>
    </xf>
    <xf numFmtId="10" fontId="17" fillId="0" borderId="0" xfId="0" applyNumberFormat="1" applyFont="1" applyFill="1" applyBorder="1" applyAlignment="1">
      <alignment horizontal="right" vertical="center"/>
    </xf>
    <xf numFmtId="0" fontId="17" fillId="4" borderId="0" xfId="0" applyFont="1" applyFill="1" applyBorder="1" applyAlignment="1">
      <alignment horizontal="left" vertical="center"/>
    </xf>
    <xf numFmtId="10" fontId="17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10" fontId="21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justify" vertical="center"/>
    </xf>
    <xf numFmtId="0" fontId="8" fillId="0" borderId="0" xfId="1" applyFont="1" applyBorder="1" applyAlignment="1" applyProtection="1">
      <alignment horizontal="left" vertical="center"/>
    </xf>
    <xf numFmtId="0" fontId="25" fillId="0" borderId="0" xfId="0" applyFont="1" applyBorder="1"/>
    <xf numFmtId="0" fontId="17" fillId="0" borderId="0" xfId="0" applyFont="1" applyBorder="1" applyAlignment="1">
      <alignment horizontal="right" vertical="center"/>
    </xf>
    <xf numFmtId="0" fontId="8" fillId="0" borderId="0" xfId="1" applyFont="1" applyBorder="1" applyAlignment="1" applyProtection="1">
      <alignment vertical="center"/>
    </xf>
    <xf numFmtId="0" fontId="5" fillId="0" borderId="13" xfId="0" applyFont="1" applyBorder="1"/>
    <xf numFmtId="0" fontId="5" fillId="0" borderId="21" xfId="0" applyFont="1" applyBorder="1"/>
    <xf numFmtId="0" fontId="5" fillId="3" borderId="18" xfId="0" applyFont="1" applyFill="1" applyBorder="1"/>
    <xf numFmtId="0" fontId="5" fillId="0" borderId="45" xfId="0" applyFont="1" applyBorder="1"/>
    <xf numFmtId="0" fontId="5" fillId="3" borderId="46" xfId="0" applyFont="1" applyFill="1" applyBorder="1"/>
    <xf numFmtId="0" fontId="5" fillId="0" borderId="47" xfId="0" applyFont="1" applyBorder="1"/>
    <xf numFmtId="0" fontId="5" fillId="3" borderId="48" xfId="0" applyFont="1" applyFill="1" applyBorder="1"/>
    <xf numFmtId="0" fontId="5" fillId="0" borderId="36" xfId="0" applyFont="1" applyBorder="1"/>
    <xf numFmtId="0" fontId="5" fillId="0" borderId="37" xfId="0" applyFont="1" applyBorder="1"/>
    <xf numFmtId="0" fontId="7" fillId="0" borderId="46" xfId="0" applyFont="1" applyBorder="1"/>
    <xf numFmtId="0" fontId="7" fillId="0" borderId="36" xfId="0" applyFont="1" applyFill="1" applyBorder="1" applyAlignment="1">
      <alignment horizontal="left" vertical="center"/>
    </xf>
    <xf numFmtId="0" fontId="5" fillId="0" borderId="0" xfId="0" applyFont="1" applyBorder="1"/>
    <xf numFmtId="9" fontId="5" fillId="0" borderId="21" xfId="2" applyFont="1" applyBorder="1"/>
    <xf numFmtId="9" fontId="5" fillId="0" borderId="1" xfId="2" applyFont="1" applyBorder="1" applyAlignment="1">
      <alignment horizontal="center"/>
    </xf>
    <xf numFmtId="9" fontId="5" fillId="0" borderId="18" xfId="2" applyFont="1" applyBorder="1"/>
    <xf numFmtId="0" fontId="5" fillId="0" borderId="19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10" fontId="5" fillId="0" borderId="18" xfId="2" applyNumberFormat="1" applyFont="1" applyBorder="1"/>
    <xf numFmtId="0" fontId="5" fillId="0" borderId="2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0" fontId="5" fillId="3" borderId="18" xfId="0" applyNumberFormat="1" applyFont="1" applyFill="1" applyBorder="1" applyAlignment="1">
      <alignment horizontal="center" vertical="center"/>
    </xf>
    <xf numFmtId="10" fontId="5" fillId="0" borderId="18" xfId="0" applyNumberFormat="1" applyFont="1" applyFill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8" xfId="0" applyFont="1" applyBorder="1"/>
    <xf numFmtId="0" fontId="5" fillId="0" borderId="22" xfId="0" applyFont="1" applyFill="1" applyBorder="1" applyAlignment="1">
      <alignment horizontal="left" vertical="center"/>
    </xf>
    <xf numFmtId="10" fontId="5" fillId="3" borderId="3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3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10" fontId="5" fillId="0" borderId="25" xfId="0" applyNumberFormat="1" applyFont="1" applyFill="1" applyBorder="1" applyAlignment="1">
      <alignment vertical="center"/>
    </xf>
    <xf numFmtId="0" fontId="5" fillId="0" borderId="26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10" fontId="7" fillId="5" borderId="7" xfId="0" applyNumberFormat="1" applyFont="1" applyFill="1" applyBorder="1" applyAlignment="1">
      <alignment horizontal="center" vertical="center" wrapText="1"/>
    </xf>
    <xf numFmtId="10" fontId="5" fillId="0" borderId="21" xfId="2" applyNumberFormat="1" applyFont="1" applyBorder="1" applyAlignment="1">
      <alignment horizontal="right"/>
    </xf>
    <xf numFmtId="10" fontId="5" fillId="0" borderId="1" xfId="2" applyNumberFormat="1" applyFont="1" applyBorder="1" applyAlignment="1">
      <alignment horizontal="right"/>
    </xf>
    <xf numFmtId="10" fontId="5" fillId="0" borderId="18" xfId="2" applyNumberFormat="1" applyFont="1" applyBorder="1" applyAlignment="1">
      <alignment horizontal="right"/>
    </xf>
    <xf numFmtId="10" fontId="5" fillId="0" borderId="22" xfId="2" applyNumberFormat="1" applyFont="1" applyBorder="1" applyAlignment="1">
      <alignment horizontal="right"/>
    </xf>
    <xf numFmtId="10" fontId="5" fillId="0" borderId="34" xfId="2" applyNumberFormat="1" applyFont="1" applyBorder="1" applyAlignment="1">
      <alignment horizontal="right"/>
    </xf>
    <xf numFmtId="10" fontId="5" fillId="0" borderId="35" xfId="2" applyNumberFormat="1" applyFont="1" applyBorder="1" applyAlignment="1">
      <alignment horizontal="right"/>
    </xf>
    <xf numFmtId="0" fontId="6" fillId="0" borderId="50" xfId="0" applyFont="1" applyBorder="1"/>
    <xf numFmtId="0" fontId="18" fillId="0" borderId="50" xfId="0" applyFont="1" applyBorder="1" applyAlignment="1">
      <alignment horizontal="justify"/>
    </xf>
    <xf numFmtId="0" fontId="18" fillId="0" borderId="51" xfId="0" applyFont="1" applyBorder="1" applyAlignment="1">
      <alignment horizontal="justify"/>
    </xf>
    <xf numFmtId="0" fontId="15" fillId="10" borderId="49" xfId="0" applyFont="1" applyFill="1" applyBorder="1" applyAlignment="1">
      <alignment horizontal="center"/>
    </xf>
    <xf numFmtId="1" fontId="6" fillId="0" borderId="0" xfId="3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3" fillId="0" borderId="34" xfId="0" applyNumberFormat="1" applyFont="1" applyBorder="1" applyAlignment="1">
      <alignment vertical="center"/>
    </xf>
    <xf numFmtId="165" fontId="3" fillId="0" borderId="9" xfId="3" applyFont="1" applyBorder="1" applyAlignment="1">
      <alignment vertical="center"/>
    </xf>
    <xf numFmtId="165" fontId="3" fillId="0" borderId="5" xfId="3" applyFont="1" applyBorder="1" applyAlignment="1">
      <alignment vertical="center"/>
    </xf>
    <xf numFmtId="9" fontId="3" fillId="3" borderId="7" xfId="2" applyFont="1" applyFill="1" applyBorder="1" applyAlignment="1">
      <alignment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3" applyFont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167" fontId="6" fillId="0" borderId="1" xfId="3" applyNumberFormat="1" applyFont="1" applyBorder="1" applyAlignment="1">
      <alignment horizontal="center" vertical="center"/>
    </xf>
    <xf numFmtId="166" fontId="3" fillId="0" borderId="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167" fontId="6" fillId="0" borderId="2" xfId="3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/>
    <xf numFmtId="0" fontId="3" fillId="0" borderId="52" xfId="0" applyFont="1" applyBorder="1" applyAlignment="1">
      <alignment vertical="center"/>
    </xf>
    <xf numFmtId="0" fontId="3" fillId="0" borderId="52" xfId="0" applyFont="1" applyBorder="1" applyAlignment="1">
      <alignment horizontal="center" vertical="center"/>
    </xf>
    <xf numFmtId="165" fontId="3" fillId="0" borderId="52" xfId="3" applyFont="1" applyBorder="1" applyAlignment="1">
      <alignment horizontal="center" vertical="center"/>
    </xf>
    <xf numFmtId="165" fontId="3" fillId="0" borderId="52" xfId="3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/>
    <xf numFmtId="0" fontId="7" fillId="0" borderId="21" xfId="0" applyFont="1" applyBorder="1"/>
    <xf numFmtId="0" fontId="7" fillId="0" borderId="1" xfId="0" applyFont="1" applyBorder="1"/>
    <xf numFmtId="0" fontId="7" fillId="0" borderId="18" xfId="0" applyFont="1" applyBorder="1"/>
    <xf numFmtId="0" fontId="5" fillId="0" borderId="21" xfId="0" applyFont="1" applyFill="1" applyBorder="1"/>
    <xf numFmtId="0" fontId="5" fillId="0" borderId="1" xfId="0" applyFont="1" applyFill="1" applyBorder="1"/>
    <xf numFmtId="0" fontId="5" fillId="0" borderId="1" xfId="0" applyFont="1" applyBorder="1"/>
    <xf numFmtId="170" fontId="22" fillId="0" borderId="18" xfId="3" applyNumberFormat="1" applyFont="1" applyBorder="1" applyAlignment="1">
      <alignment horizontal="center" vertical="center" wrapText="1"/>
    </xf>
    <xf numFmtId="171" fontId="5" fillId="0" borderId="18" xfId="0" applyNumberFormat="1" applyFont="1" applyBorder="1"/>
    <xf numFmtId="2" fontId="5" fillId="0" borderId="18" xfId="0" applyNumberFormat="1" applyFont="1" applyBorder="1"/>
    <xf numFmtId="0" fontId="5" fillId="0" borderId="22" xfId="0" applyFont="1" applyFill="1" applyBorder="1"/>
    <xf numFmtId="0" fontId="5" fillId="0" borderId="34" xfId="0" applyFont="1" applyBorder="1"/>
    <xf numFmtId="171" fontId="5" fillId="3" borderId="18" xfId="0" applyNumberFormat="1" applyFont="1" applyFill="1" applyBorder="1"/>
    <xf numFmtId="171" fontId="5" fillId="0" borderId="35" xfId="0" applyNumberFormat="1" applyFont="1" applyBorder="1"/>
    <xf numFmtId="0" fontId="15" fillId="0" borderId="1" xfId="0" applyFont="1" applyFill="1" applyBorder="1" applyAlignment="1">
      <alignment horizontal="center"/>
    </xf>
    <xf numFmtId="0" fontId="15" fillId="0" borderId="21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172" fontId="5" fillId="3" borderId="18" xfId="0" applyNumberFormat="1" applyFont="1" applyFill="1" applyBorder="1"/>
    <xf numFmtId="0" fontId="5" fillId="0" borderId="21" xfId="0" applyFont="1" applyBorder="1" applyAlignment="1">
      <alignment horizontal="right"/>
    </xf>
    <xf numFmtId="4" fontId="29" fillId="0" borderId="0" xfId="0" applyNumberFormat="1" applyFont="1" applyBorder="1" applyAlignment="1">
      <alignment vertical="center"/>
    </xf>
    <xf numFmtId="0" fontId="5" fillId="0" borderId="18" xfId="0" applyFont="1" applyFill="1" applyBorder="1"/>
    <xf numFmtId="0" fontId="1" fillId="0" borderId="2" xfId="0" applyFont="1" applyBorder="1" applyAlignment="1">
      <alignment vertical="center"/>
    </xf>
    <xf numFmtId="169" fontId="7" fillId="0" borderId="18" xfId="0" applyNumberFormat="1" applyFont="1" applyBorder="1"/>
    <xf numFmtId="9" fontId="16" fillId="0" borderId="18" xfId="2" applyFont="1" applyBorder="1"/>
    <xf numFmtId="10" fontId="16" fillId="0" borderId="18" xfId="2" applyNumberFormat="1" applyFont="1" applyBorder="1"/>
    <xf numFmtId="9" fontId="7" fillId="0" borderId="29" xfId="2" applyFont="1" applyBorder="1"/>
    <xf numFmtId="0" fontId="5" fillId="0" borderId="53" xfId="0" applyFont="1" applyBorder="1"/>
    <xf numFmtId="0" fontId="1" fillId="0" borderId="1" xfId="0" applyFont="1" applyBorder="1" applyAlignment="1">
      <alignment vertical="center"/>
    </xf>
    <xf numFmtId="165" fontId="1" fillId="0" borderId="12" xfId="3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165" fontId="3" fillId="0" borderId="8" xfId="3" applyFont="1" applyBorder="1" applyAlignment="1">
      <alignment horizontal="left" vertical="center"/>
    </xf>
    <xf numFmtId="0" fontId="15" fillId="8" borderId="36" xfId="0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37" xfId="0" applyFont="1" applyFill="1" applyBorder="1" applyAlignment="1">
      <alignment horizontal="center" vertical="center"/>
    </xf>
    <xf numFmtId="0" fontId="7" fillId="8" borderId="42" xfId="0" applyFont="1" applyFill="1" applyBorder="1" applyAlignment="1">
      <alignment horizontal="center" vertical="center"/>
    </xf>
    <xf numFmtId="0" fontId="7" fillId="8" borderId="40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165" fontId="3" fillId="0" borderId="5" xfId="3" applyFont="1" applyBorder="1" applyAlignment="1">
      <alignment horizontal="center" vertical="center"/>
    </xf>
    <xf numFmtId="165" fontId="3" fillId="0" borderId="6" xfId="3" applyFont="1" applyBorder="1" applyAlignment="1">
      <alignment horizontal="center" vertical="center"/>
    </xf>
    <xf numFmtId="165" fontId="3" fillId="0" borderId="41" xfId="3" applyFont="1" applyBorder="1" applyAlignment="1">
      <alignment horizontal="center" vertical="center"/>
    </xf>
    <xf numFmtId="165" fontId="4" fillId="8" borderId="5" xfId="3" applyFont="1" applyFill="1" applyBorder="1" applyAlignment="1">
      <alignment horizontal="center" vertical="center"/>
    </xf>
    <xf numFmtId="165" fontId="4" fillId="8" borderId="6" xfId="3" applyFont="1" applyFill="1" applyBorder="1" applyAlignment="1">
      <alignment horizontal="center" vertical="center"/>
    </xf>
    <xf numFmtId="165" fontId="4" fillId="8" borderId="7" xfId="3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5" fillId="8" borderId="10" xfId="0" applyFont="1" applyFill="1" applyBorder="1" applyAlignment="1">
      <alignment horizontal="center" vertical="center"/>
    </xf>
    <xf numFmtId="0" fontId="15" fillId="10" borderId="17" xfId="0" applyFont="1" applyFill="1" applyBorder="1" applyAlignment="1">
      <alignment horizontal="center"/>
    </xf>
    <xf numFmtId="0" fontId="15" fillId="10" borderId="4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9" fontId="7" fillId="0" borderId="19" xfId="2" applyFont="1" applyBorder="1" applyAlignment="1">
      <alignment horizontal="center"/>
    </xf>
    <xf numFmtId="9" fontId="7" fillId="0" borderId="20" xfId="2" applyFont="1" applyBorder="1" applyAlignment="1">
      <alignment horizontal="center"/>
    </xf>
    <xf numFmtId="9" fontId="7" fillId="0" borderId="10" xfId="2" applyFont="1" applyBorder="1" applyAlignment="1">
      <alignment horizontal="center"/>
    </xf>
    <xf numFmtId="0" fontId="4" fillId="10" borderId="23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15" fillId="10" borderId="19" xfId="0" applyFont="1" applyFill="1" applyBorder="1" applyAlignment="1">
      <alignment horizontal="center"/>
    </xf>
    <xf numFmtId="0" fontId="15" fillId="10" borderId="20" xfId="0" applyFont="1" applyFill="1" applyBorder="1" applyAlignment="1">
      <alignment horizontal="center"/>
    </xf>
    <xf numFmtId="0" fontId="15" fillId="10" borderId="10" xfId="0" applyFont="1" applyFill="1" applyBorder="1" applyAlignment="1">
      <alignment horizontal="center"/>
    </xf>
    <xf numFmtId="0" fontId="1" fillId="0" borderId="5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65" fontId="1" fillId="3" borderId="8" xfId="3" applyFont="1" applyFill="1" applyBorder="1" applyAlignment="1">
      <alignment vertical="center"/>
    </xf>
    <xf numFmtId="165" fontId="1" fillId="0" borderId="55" xfId="3" applyFont="1" applyBorder="1" applyAlignment="1">
      <alignment vertical="center"/>
    </xf>
    <xf numFmtId="165" fontId="3" fillId="0" borderId="7" xfId="3" applyFont="1" applyBorder="1" applyAlignment="1">
      <alignment horizontal="right" vertical="center"/>
    </xf>
    <xf numFmtId="165" fontId="3" fillId="2" borderId="4" xfId="3" applyFont="1" applyFill="1" applyBorder="1" applyAlignment="1">
      <alignment horizontal="right" vertical="center"/>
    </xf>
    <xf numFmtId="165" fontId="1" fillId="0" borderId="1" xfId="3" applyFont="1" applyBorder="1" applyAlignment="1">
      <alignment vertic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6"/>
  <sheetViews>
    <sheetView tabSelected="1" view="pageBreakPreview" topLeftCell="A217" zoomScaleNormal="100" zoomScaleSheetLayoutView="100" workbookViewId="0">
      <selection activeCell="J245" sqref="J245"/>
    </sheetView>
  </sheetViews>
  <sheetFormatPr defaultRowHeight="12.75" x14ac:dyDescent="0.2"/>
  <cols>
    <col min="1" max="1" width="44.5703125" style="9" customWidth="1"/>
    <col min="2" max="2" width="16" style="9" bestFit="1" customWidth="1"/>
    <col min="3" max="3" width="11.85546875" style="9" customWidth="1"/>
    <col min="4" max="4" width="14.7109375" style="10" customWidth="1"/>
    <col min="5" max="5" width="15.42578125" style="10" customWidth="1"/>
    <col min="6" max="6" width="13.140625" style="10" customWidth="1"/>
    <col min="7" max="7" width="28.140625" style="10" hidden="1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11" s="8" customFormat="1" ht="18" x14ac:dyDescent="0.2">
      <c r="A1" s="305" t="s">
        <v>213</v>
      </c>
      <c r="B1" s="306"/>
      <c r="C1" s="306"/>
      <c r="D1" s="306"/>
      <c r="E1" s="306"/>
      <c r="F1" s="307"/>
      <c r="G1" s="36"/>
    </row>
    <row r="2" spans="1:11" s="8" customFormat="1" ht="21.75" customHeight="1" x14ac:dyDescent="0.2">
      <c r="A2" s="308" t="s">
        <v>38</v>
      </c>
      <c r="B2" s="309"/>
      <c r="C2" s="309"/>
      <c r="D2" s="309"/>
      <c r="E2" s="309"/>
      <c r="F2" s="310"/>
      <c r="G2" s="36"/>
    </row>
    <row r="3" spans="1:11" s="4" customFormat="1" ht="10.9" customHeight="1" thickBot="1" x14ac:dyDescent="0.25">
      <c r="A3" s="145"/>
      <c r="B3" s="146"/>
      <c r="C3" s="146"/>
      <c r="D3" s="147"/>
      <c r="E3" s="147"/>
      <c r="F3" s="148"/>
      <c r="G3" s="6"/>
    </row>
    <row r="4" spans="1:11" s="4" customFormat="1" ht="15.75" customHeight="1" thickBot="1" x14ac:dyDescent="0.25">
      <c r="A4" s="314" t="s">
        <v>199</v>
      </c>
      <c r="B4" s="315"/>
      <c r="C4" s="315"/>
      <c r="D4" s="315"/>
      <c r="E4" s="315"/>
      <c r="F4" s="316"/>
      <c r="G4" s="6"/>
    </row>
    <row r="5" spans="1:11" s="4" customFormat="1" ht="15.75" customHeight="1" x14ac:dyDescent="0.2">
      <c r="A5" s="63" t="s">
        <v>198</v>
      </c>
      <c r="B5" s="40"/>
      <c r="C5" s="40"/>
      <c r="D5" s="248"/>
      <c r="E5" s="111" t="s">
        <v>33</v>
      </c>
      <c r="F5" s="41" t="s">
        <v>1</v>
      </c>
      <c r="G5" s="6"/>
    </row>
    <row r="6" spans="1:11" s="11" customFormat="1" ht="15.75" customHeight="1" x14ac:dyDescent="0.2">
      <c r="A6" s="120" t="str">
        <f>A42</f>
        <v>1. Mão-de-obra</v>
      </c>
      <c r="B6" s="121"/>
      <c r="C6" s="122"/>
      <c r="D6" s="122"/>
      <c r="E6" s="245">
        <f>+F88</f>
        <v>7614.392735677292</v>
      </c>
      <c r="F6" s="123">
        <f t="shared" ref="F6:F24" si="0">IFERROR(E6/$E$25,0)</f>
        <v>0.33876566971146382</v>
      </c>
      <c r="G6" s="44"/>
    </row>
    <row r="7" spans="1:11" s="4" customFormat="1" ht="15.75" customHeight="1" x14ac:dyDescent="0.2">
      <c r="A7" s="49" t="str">
        <f>A44</f>
        <v>1.1. Coletor Turno Dia</v>
      </c>
      <c r="B7" s="45"/>
      <c r="C7" s="47"/>
      <c r="D7" s="47"/>
      <c r="E7" s="246">
        <f>F52</f>
        <v>3675.9469829913601</v>
      </c>
      <c r="F7" s="57">
        <f t="shared" si="0"/>
        <v>0.16354352667969344</v>
      </c>
      <c r="G7" s="6"/>
    </row>
    <row r="8" spans="1:11" s="4" customFormat="1" ht="15.75" customHeight="1" x14ac:dyDescent="0.2">
      <c r="A8" s="49" t="s">
        <v>86</v>
      </c>
      <c r="B8" s="45"/>
      <c r="C8" s="47"/>
      <c r="D8" s="47"/>
      <c r="E8" s="246">
        <v>0</v>
      </c>
      <c r="F8" s="57">
        <f t="shared" si="0"/>
        <v>0</v>
      </c>
      <c r="G8" s="6"/>
    </row>
    <row r="9" spans="1:11" s="4" customFormat="1" ht="15.75" customHeight="1" x14ac:dyDescent="0.2">
      <c r="A9" s="49" t="str">
        <f>A55</f>
        <v>1.3. Motorista Turno do Dia</v>
      </c>
      <c r="B9" s="45"/>
      <c r="C9" s="47"/>
      <c r="D9" s="47"/>
      <c r="E9" s="246">
        <f>F65</f>
        <v>2427.9420603782396</v>
      </c>
      <c r="F9" s="57">
        <f t="shared" si="0"/>
        <v>0.10801956855348686</v>
      </c>
      <c r="G9" s="6"/>
    </row>
    <row r="10" spans="1:11" s="4" customFormat="1" ht="15.75" customHeight="1" x14ac:dyDescent="0.2">
      <c r="A10" s="49" t="s">
        <v>95</v>
      </c>
      <c r="B10" s="45"/>
      <c r="C10" s="47"/>
      <c r="D10" s="47"/>
      <c r="E10" s="246">
        <v>0</v>
      </c>
      <c r="F10" s="57">
        <f t="shared" si="0"/>
        <v>0</v>
      </c>
      <c r="G10" s="6"/>
      <c r="K10" s="8"/>
    </row>
    <row r="11" spans="1:11" s="4" customFormat="1" ht="15.75" customHeight="1" x14ac:dyDescent="0.2">
      <c r="A11" s="49" t="str">
        <f>A68</f>
        <v>1.5. Vale Transporte</v>
      </c>
      <c r="B11" s="45"/>
      <c r="C11" s="47"/>
      <c r="D11" s="47"/>
      <c r="E11" s="246">
        <f>F74</f>
        <v>370.50369230769235</v>
      </c>
      <c r="F11" s="57">
        <f t="shared" si="0"/>
        <v>1.6483774322158234E-2</v>
      </c>
      <c r="G11" s="6"/>
    </row>
    <row r="12" spans="1:11" s="4" customFormat="1" ht="15.75" customHeight="1" x14ac:dyDescent="0.2">
      <c r="A12" s="49" t="str">
        <f>A76</f>
        <v>1.6. Vale-refeição (diário)</v>
      </c>
      <c r="B12" s="45"/>
      <c r="C12" s="47"/>
      <c r="D12" s="47"/>
      <c r="E12" s="246">
        <f>F80</f>
        <v>780</v>
      </c>
      <c r="F12" s="57">
        <f t="shared" si="0"/>
        <v>3.4702336948927832E-2</v>
      </c>
      <c r="G12" s="6"/>
    </row>
    <row r="13" spans="1:11" s="4" customFormat="1" ht="15.75" customHeight="1" x14ac:dyDescent="0.2">
      <c r="A13" s="49" t="str">
        <f>A82</f>
        <v>1.7. Auxílio Alimentação (mensal)</v>
      </c>
      <c r="B13" s="45"/>
      <c r="C13" s="47"/>
      <c r="D13" s="47"/>
      <c r="E13" s="246">
        <f>F86</f>
        <v>360</v>
      </c>
      <c r="F13" s="57">
        <f t="shared" si="0"/>
        <v>1.6016463207197462E-2</v>
      </c>
      <c r="G13" s="6"/>
    </row>
    <row r="14" spans="1:11" s="11" customFormat="1" ht="15.75" customHeight="1" x14ac:dyDescent="0.2">
      <c r="A14" s="303" t="str">
        <f>A90</f>
        <v>2. Uniformes e Equipamentos de Proteção Individual</v>
      </c>
      <c r="B14" s="304"/>
      <c r="C14" s="304"/>
      <c r="D14" s="122"/>
      <c r="E14" s="245">
        <f>+F122</f>
        <v>350.62900000000002</v>
      </c>
      <c r="F14" s="123">
        <f t="shared" si="0"/>
        <v>1.5599545771878998E-2</v>
      </c>
      <c r="G14" s="44"/>
    </row>
    <row r="15" spans="1:11" s="11" customFormat="1" ht="15.75" customHeight="1" x14ac:dyDescent="0.2">
      <c r="A15" s="131" t="str">
        <f>A124</f>
        <v>3. Veículos e Equipamentos</v>
      </c>
      <c r="B15" s="132"/>
      <c r="C15" s="122"/>
      <c r="D15" s="122"/>
      <c r="E15" s="245">
        <f>+F201</f>
        <v>10722.321330478571</v>
      </c>
      <c r="F15" s="123">
        <f t="shared" si="0"/>
        <v>0.47703795857044051</v>
      </c>
      <c r="G15" s="44"/>
    </row>
    <row r="16" spans="1:11" s="4" customFormat="1" ht="15.75" customHeight="1" x14ac:dyDescent="0.2">
      <c r="A16" s="64" t="str">
        <f>A126</f>
        <v>3.1. Veículo Coletor Compactador 15 m³</v>
      </c>
      <c r="B16" s="46"/>
      <c r="C16" s="47"/>
      <c r="D16" s="47"/>
      <c r="E16" s="246">
        <f>SUM(E17:E22)</f>
        <v>10722.321330478571</v>
      </c>
      <c r="F16" s="138">
        <f t="shared" si="0"/>
        <v>0.47703795857044051</v>
      </c>
      <c r="G16" s="6"/>
    </row>
    <row r="17" spans="1:7" s="4" customFormat="1" ht="15.75" customHeight="1" x14ac:dyDescent="0.2">
      <c r="A17" s="64" t="str">
        <f>A128</f>
        <v>3.1.1. Depreciação</v>
      </c>
      <c r="B17" s="46"/>
      <c r="C17" s="47"/>
      <c r="D17" s="47"/>
      <c r="E17" s="246">
        <f>F142</f>
        <v>1757.9045999999998</v>
      </c>
      <c r="F17" s="138">
        <f t="shared" si="0"/>
        <v>7.8209484299064352E-2</v>
      </c>
      <c r="G17" s="6"/>
    </row>
    <row r="18" spans="1:7" s="4" customFormat="1" ht="15.75" customHeight="1" x14ac:dyDescent="0.2">
      <c r="A18" s="64" t="str">
        <f>A144</f>
        <v>3.1.2. Remuneração do Capital</v>
      </c>
      <c r="B18" s="46"/>
      <c r="C18" s="47"/>
      <c r="D18" s="47"/>
      <c r="E18" s="246">
        <f>F158</f>
        <v>2525.3743822500001</v>
      </c>
      <c r="F18" s="138">
        <f t="shared" si="0"/>
        <v>0.11235434966029485</v>
      </c>
      <c r="G18" s="6"/>
    </row>
    <row r="19" spans="1:7" s="4" customFormat="1" ht="15.75" customHeight="1" x14ac:dyDescent="0.2">
      <c r="A19" s="64" t="str">
        <f>A160</f>
        <v>3.1.3. Impostos e Seguros</v>
      </c>
      <c r="B19" s="46"/>
      <c r="C19" s="47"/>
      <c r="D19" s="47"/>
      <c r="E19" s="246">
        <f>F166</f>
        <v>295.02049999999997</v>
      </c>
      <c r="F19" s="138">
        <f t="shared" si="0"/>
        <v>1.3125513843386106E-2</v>
      </c>
      <c r="G19" s="6"/>
    </row>
    <row r="20" spans="1:7" s="4" customFormat="1" ht="15.75" customHeight="1" x14ac:dyDescent="0.2">
      <c r="A20" s="64" t="str">
        <f>A168</f>
        <v>3.1.4. Consumos</v>
      </c>
      <c r="B20" s="46"/>
      <c r="C20" s="47"/>
      <c r="D20" s="47"/>
      <c r="E20" s="246">
        <f>F184</f>
        <v>3783.2218482285707</v>
      </c>
      <c r="F20" s="138">
        <f t="shared" si="0"/>
        <v>0.16831620426894023</v>
      </c>
      <c r="G20" s="6"/>
    </row>
    <row r="21" spans="1:7" s="4" customFormat="1" ht="15.75" customHeight="1" x14ac:dyDescent="0.2">
      <c r="A21" s="64" t="str">
        <f>A186</f>
        <v>3.1.5. Manutenção</v>
      </c>
      <c r="B21" s="46"/>
      <c r="C21" s="47"/>
      <c r="D21" s="47"/>
      <c r="E21" s="246">
        <f>F189</f>
        <v>1343.84</v>
      </c>
      <c r="F21" s="138">
        <f t="shared" si="0"/>
        <v>5.9787677545445103E-2</v>
      </c>
      <c r="G21" s="6"/>
    </row>
    <row r="22" spans="1:7" s="4" customFormat="1" ht="15.75" customHeight="1" x14ac:dyDescent="0.2">
      <c r="A22" s="64" t="str">
        <f>A191</f>
        <v>3.1.6. Pneus</v>
      </c>
      <c r="B22" s="46"/>
      <c r="C22" s="47"/>
      <c r="D22" s="47"/>
      <c r="E22" s="246">
        <f>F198</f>
        <v>1016.9600000000002</v>
      </c>
      <c r="F22" s="138">
        <f t="shared" si="0"/>
        <v>4.5244728953309818E-2</v>
      </c>
      <c r="G22" s="6"/>
    </row>
    <row r="23" spans="1:7" s="11" customFormat="1" ht="15.75" customHeight="1" x14ac:dyDescent="0.2">
      <c r="A23" s="131" t="str">
        <f>A203</f>
        <v>4. Ferramentas e Materiais de Consumo</v>
      </c>
      <c r="B23" s="132"/>
      <c r="C23" s="122"/>
      <c r="D23" s="122"/>
      <c r="E23" s="245">
        <f>+F213</f>
        <v>51.191666666666663</v>
      </c>
      <c r="F23" s="123">
        <f t="shared" si="0"/>
        <v>2.2775262380049536E-3</v>
      </c>
      <c r="G23" s="44"/>
    </row>
    <row r="24" spans="1:7" s="11" customFormat="1" ht="15.75" customHeight="1" thickBot="1" x14ac:dyDescent="0.25">
      <c r="A24" s="131" t="str">
        <f>A221</f>
        <v>6. Benefícios e Despesas Indiretas - BDI</v>
      </c>
      <c r="B24" s="132"/>
      <c r="C24" s="122"/>
      <c r="D24" s="122"/>
      <c r="E24" s="247">
        <f>+F227</f>
        <v>3738.337679198095</v>
      </c>
      <c r="F24" s="123">
        <f t="shared" si="0"/>
        <v>0.16631929970821177</v>
      </c>
      <c r="G24" s="44"/>
    </row>
    <row r="25" spans="1:7" s="4" customFormat="1" ht="15.75" customHeight="1" thickBot="1" x14ac:dyDescent="0.25">
      <c r="A25" s="42" t="s">
        <v>230</v>
      </c>
      <c r="B25" s="43"/>
      <c r="C25" s="26"/>
      <c r="D25" s="26"/>
      <c r="E25" s="110">
        <f>E6+E14+E15+E23+E24</f>
        <v>22476.872412020624</v>
      </c>
      <c r="F25" s="137">
        <f>F6+F14+F15+F23+F24</f>
        <v>1</v>
      </c>
      <c r="G25" s="6"/>
    </row>
    <row r="27" spans="1:7" ht="13.5" thickBot="1" x14ac:dyDescent="0.25"/>
    <row r="28" spans="1:7" s="4" customFormat="1" ht="15" customHeight="1" thickBot="1" x14ac:dyDescent="0.25">
      <c r="A28" s="314" t="s">
        <v>92</v>
      </c>
      <c r="B28" s="315"/>
      <c r="C28" s="315"/>
      <c r="D28" s="315"/>
      <c r="E28" s="316"/>
      <c r="F28" s="10"/>
      <c r="G28" s="6"/>
    </row>
    <row r="29" spans="1:7" s="4" customFormat="1" ht="15" customHeight="1" thickBot="1" x14ac:dyDescent="0.25">
      <c r="A29" s="311" t="s">
        <v>34</v>
      </c>
      <c r="B29" s="312"/>
      <c r="C29" s="312"/>
      <c r="D29" s="313"/>
      <c r="E29" s="48" t="s">
        <v>35</v>
      </c>
      <c r="F29" s="10"/>
      <c r="G29" s="6"/>
    </row>
    <row r="30" spans="1:7" s="4" customFormat="1" ht="15" customHeight="1" x14ac:dyDescent="0.2">
      <c r="A30" s="72" t="str">
        <f>+A44</f>
        <v>1.1. Coletor Turno Dia</v>
      </c>
      <c r="B30" s="73"/>
      <c r="C30" s="73"/>
      <c r="D30" s="74"/>
      <c r="E30" s="75">
        <v>2</v>
      </c>
      <c r="F30" s="10"/>
      <c r="G30" s="6"/>
    </row>
    <row r="31" spans="1:7" s="4" customFormat="1" ht="15" customHeight="1" x14ac:dyDescent="0.2">
      <c r="A31" s="300" t="s">
        <v>288</v>
      </c>
      <c r="B31" s="65"/>
      <c r="C31" s="65"/>
      <c r="D31" s="76"/>
      <c r="E31" s="69">
        <v>0</v>
      </c>
      <c r="F31" s="10"/>
      <c r="G31" s="6"/>
    </row>
    <row r="32" spans="1:7" s="4" customFormat="1" ht="15" customHeight="1" x14ac:dyDescent="0.2">
      <c r="A32" s="66" t="str">
        <f>+A55</f>
        <v>1.3. Motorista Turno do Dia</v>
      </c>
      <c r="B32" s="65"/>
      <c r="C32" s="65"/>
      <c r="D32" s="76"/>
      <c r="E32" s="69">
        <v>1</v>
      </c>
      <c r="F32" s="10"/>
      <c r="G32" s="6"/>
    </row>
    <row r="33" spans="1:7" s="4" customFormat="1" ht="15" customHeight="1" x14ac:dyDescent="0.2">
      <c r="A33" s="300" t="s">
        <v>95</v>
      </c>
      <c r="B33" s="65"/>
      <c r="C33" s="65"/>
      <c r="D33" s="76"/>
      <c r="E33" s="69">
        <v>0</v>
      </c>
      <c r="F33" s="10"/>
      <c r="G33" s="6"/>
    </row>
    <row r="34" spans="1:7" s="4" customFormat="1" ht="15" customHeight="1" thickBot="1" x14ac:dyDescent="0.25">
      <c r="A34" s="70" t="s">
        <v>54</v>
      </c>
      <c r="B34" s="71"/>
      <c r="C34" s="71"/>
      <c r="D34" s="77"/>
      <c r="E34" s="78">
        <f>SUM(E30:E33)</f>
        <v>3</v>
      </c>
      <c r="F34" s="10"/>
      <c r="G34" s="6"/>
    </row>
    <row r="35" spans="1:7" s="4" customFormat="1" ht="15" customHeight="1" thickBot="1" x14ac:dyDescent="0.25">
      <c r="A35" s="124"/>
      <c r="B35" s="125"/>
      <c r="C35" s="58"/>
      <c r="D35" s="58"/>
      <c r="E35" s="126"/>
      <c r="F35" s="10"/>
      <c r="G35" s="6"/>
    </row>
    <row r="36" spans="1:7" s="4" customFormat="1" ht="15" customHeight="1" x14ac:dyDescent="0.2">
      <c r="A36" s="301" t="s">
        <v>51</v>
      </c>
      <c r="B36" s="302"/>
      <c r="C36" s="302"/>
      <c r="D36" s="302"/>
      <c r="E36" s="48" t="s">
        <v>35</v>
      </c>
      <c r="F36" s="9"/>
      <c r="G36" s="6"/>
    </row>
    <row r="37" spans="1:7" s="4" customFormat="1" ht="15" customHeight="1" thickBot="1" x14ac:dyDescent="0.25">
      <c r="A37" s="127" t="str">
        <f>+A126</f>
        <v>3.1. Veículo Coletor Compactador 15 m³</v>
      </c>
      <c r="B37" s="128"/>
      <c r="C37" s="128"/>
      <c r="D37" s="129"/>
      <c r="E37" s="130">
        <v>1</v>
      </c>
      <c r="F37" s="9"/>
      <c r="G37" s="6"/>
    </row>
    <row r="38" spans="1:7" s="4" customFormat="1" ht="15" customHeight="1" x14ac:dyDescent="0.2">
      <c r="A38" s="58"/>
      <c r="B38" s="58"/>
      <c r="C38" s="58"/>
      <c r="D38" s="53"/>
      <c r="E38" s="244"/>
      <c r="F38" s="9"/>
      <c r="G38" s="6"/>
    </row>
    <row r="39" spans="1:7" s="4" customFormat="1" ht="13.5" thickBot="1" x14ac:dyDescent="0.25">
      <c r="A39" s="58"/>
      <c r="B39" s="58"/>
      <c r="C39" s="58"/>
      <c r="D39" s="53"/>
      <c r="E39" s="67"/>
      <c r="F39" s="9"/>
      <c r="G39" s="6"/>
    </row>
    <row r="40" spans="1:7" s="11" customFormat="1" ht="15.75" customHeight="1" thickBot="1" x14ac:dyDescent="0.25">
      <c r="A40" s="249" t="s">
        <v>193</v>
      </c>
      <c r="B40" s="250">
        <v>0.6</v>
      </c>
      <c r="C40" s="35"/>
      <c r="D40" s="34"/>
      <c r="E40" s="149"/>
      <c r="G40" s="44"/>
    </row>
    <row r="41" spans="1:7" s="4" customFormat="1" ht="15.75" customHeight="1" x14ac:dyDescent="0.2">
      <c r="A41" s="58"/>
      <c r="B41" s="58"/>
      <c r="C41" s="58"/>
      <c r="D41" s="53"/>
      <c r="E41" s="67"/>
      <c r="F41" s="9"/>
      <c r="G41" s="6"/>
    </row>
    <row r="42" spans="1:7" ht="13.15" customHeight="1" x14ac:dyDescent="0.2">
      <c r="A42" s="11" t="s">
        <v>42</v>
      </c>
    </row>
    <row r="43" spans="1:7" ht="11.25" customHeight="1" x14ac:dyDescent="0.2"/>
    <row r="44" spans="1:7" ht="13.9" customHeight="1" thickBot="1" x14ac:dyDescent="0.25">
      <c r="A44" s="9" t="s">
        <v>93</v>
      </c>
    </row>
    <row r="45" spans="1:7" ht="13.9" customHeight="1" thickBot="1" x14ac:dyDescent="0.25">
      <c r="A45" s="59" t="s">
        <v>58</v>
      </c>
      <c r="B45" s="60" t="s">
        <v>59</v>
      </c>
      <c r="C45" s="60" t="s">
        <v>35</v>
      </c>
      <c r="D45" s="61" t="s">
        <v>226</v>
      </c>
      <c r="E45" s="61" t="s">
        <v>60</v>
      </c>
      <c r="F45" s="62" t="s">
        <v>61</v>
      </c>
    </row>
    <row r="46" spans="1:7" ht="13.15" customHeight="1" x14ac:dyDescent="0.2">
      <c r="A46" s="13" t="s">
        <v>209</v>
      </c>
      <c r="B46" s="14" t="s">
        <v>6</v>
      </c>
      <c r="C46" s="14">
        <v>1</v>
      </c>
      <c r="D46" s="83">
        <v>1282.5999999999999</v>
      </c>
      <c r="E46" s="15">
        <f>C46*D46</f>
        <v>1282.5999999999999</v>
      </c>
    </row>
    <row r="47" spans="1:7" x14ac:dyDescent="0.2">
      <c r="A47" s="16" t="s">
        <v>0</v>
      </c>
      <c r="B47" s="17" t="s">
        <v>1</v>
      </c>
      <c r="C47" s="17">
        <v>40</v>
      </c>
      <c r="D47" s="79">
        <f>SUM(E46:E46)</f>
        <v>1282.5999999999999</v>
      </c>
      <c r="E47" s="18">
        <f>C47*D47/100</f>
        <v>513.04</v>
      </c>
    </row>
    <row r="48" spans="1:7" x14ac:dyDescent="0.2">
      <c r="A48" s="112" t="s">
        <v>2</v>
      </c>
      <c r="B48" s="113"/>
      <c r="C48" s="113"/>
      <c r="D48" s="114"/>
      <c r="E48" s="115">
        <f>SUM(E46:E47)</f>
        <v>1795.6399999999999</v>
      </c>
    </row>
    <row r="49" spans="1:7" x14ac:dyDescent="0.2">
      <c r="A49" s="16" t="s">
        <v>3</v>
      </c>
      <c r="B49" s="17" t="s">
        <v>1</v>
      </c>
      <c r="C49" s="135">
        <f>'2.Encargos Sociais'!$C$34*100</f>
        <v>70.595951999999997</v>
      </c>
      <c r="D49" s="18">
        <f>E48</f>
        <v>1795.6399999999999</v>
      </c>
      <c r="E49" s="18">
        <f>D49*C49/100</f>
        <v>1267.6491524927999</v>
      </c>
    </row>
    <row r="50" spans="1:7" x14ac:dyDescent="0.2">
      <c r="A50" s="112" t="s">
        <v>67</v>
      </c>
      <c r="B50" s="113"/>
      <c r="C50" s="113"/>
      <c r="D50" s="114"/>
      <c r="E50" s="115">
        <f>E48+E49</f>
        <v>3063.2891524928</v>
      </c>
    </row>
    <row r="51" spans="1:7" ht="13.5" thickBot="1" x14ac:dyDescent="0.25">
      <c r="A51" s="16" t="s">
        <v>4</v>
      </c>
      <c r="B51" s="17" t="s">
        <v>5</v>
      </c>
      <c r="C51" s="82">
        <v>2</v>
      </c>
      <c r="D51" s="18">
        <f>E50</f>
        <v>3063.2891524928</v>
      </c>
      <c r="E51" s="18">
        <f>C51*D51</f>
        <v>6126.5783049856</v>
      </c>
      <c r="G51" s="6"/>
    </row>
    <row r="52" spans="1:7" ht="13.9" customHeight="1" thickBot="1" x14ac:dyDescent="0.25">
      <c r="D52" s="118" t="s">
        <v>192</v>
      </c>
      <c r="E52" s="50">
        <f>$B$40</f>
        <v>0.6</v>
      </c>
      <c r="F52" s="119">
        <f>E51*E52</f>
        <v>3675.9469829913601</v>
      </c>
      <c r="G52" s="6"/>
    </row>
    <row r="53" spans="1:7" ht="11.25" customHeight="1" x14ac:dyDescent="0.2"/>
    <row r="54" spans="1:7" ht="11.25" customHeight="1" x14ac:dyDescent="0.2"/>
    <row r="55" spans="1:7" ht="13.5" thickBot="1" x14ac:dyDescent="0.25">
      <c r="A55" s="9" t="s">
        <v>94</v>
      </c>
    </row>
    <row r="56" spans="1:7" s="12" customFormat="1" ht="13.15" customHeight="1" thickBot="1" x14ac:dyDescent="0.25">
      <c r="A56" s="59" t="s">
        <v>58</v>
      </c>
      <c r="B56" s="60" t="s">
        <v>59</v>
      </c>
      <c r="C56" s="60" t="s">
        <v>35</v>
      </c>
      <c r="D56" s="61" t="s">
        <v>226</v>
      </c>
      <c r="E56" s="61" t="s">
        <v>60</v>
      </c>
      <c r="F56" s="62" t="s">
        <v>61</v>
      </c>
      <c r="G56" s="10"/>
    </row>
    <row r="57" spans="1:7" x14ac:dyDescent="0.2">
      <c r="A57" s="293" t="s">
        <v>276</v>
      </c>
      <c r="B57" s="14" t="s">
        <v>6</v>
      </c>
      <c r="C57" s="14">
        <v>1</v>
      </c>
      <c r="D57" s="83">
        <v>1887.22</v>
      </c>
      <c r="E57" s="15">
        <f>C57*D57</f>
        <v>1887.22</v>
      </c>
    </row>
    <row r="58" spans="1:7" ht="12" customHeight="1" x14ac:dyDescent="0.2">
      <c r="A58" s="293" t="s">
        <v>277</v>
      </c>
      <c r="B58" s="14" t="s">
        <v>6</v>
      </c>
      <c r="C58" s="14">
        <v>1</v>
      </c>
      <c r="D58" s="83">
        <v>1212</v>
      </c>
      <c r="E58" s="15"/>
    </row>
    <row r="59" spans="1:7" x14ac:dyDescent="0.2">
      <c r="A59" s="16" t="s">
        <v>210</v>
      </c>
      <c r="B59" s="17"/>
      <c r="C59" s="85">
        <v>1</v>
      </c>
      <c r="D59" s="18"/>
      <c r="E59" s="18"/>
    </row>
    <row r="60" spans="1:7" x14ac:dyDescent="0.2">
      <c r="A60" s="16" t="s">
        <v>0</v>
      </c>
      <c r="B60" s="17" t="s">
        <v>1</v>
      </c>
      <c r="C60" s="82">
        <v>40</v>
      </c>
      <c r="D60" s="79">
        <f>IF(C59=2,SUM(E57:E58),IF(C59=1,(SUM(E57:E58))*D58/D57,0))</f>
        <v>1212</v>
      </c>
      <c r="E60" s="18">
        <f>C60*D60/100</f>
        <v>484.8</v>
      </c>
    </row>
    <row r="61" spans="1:7" s="11" customFormat="1" x14ac:dyDescent="0.2">
      <c r="A61" s="98" t="s">
        <v>2</v>
      </c>
      <c r="B61" s="113"/>
      <c r="C61" s="113"/>
      <c r="D61" s="114"/>
      <c r="E61" s="100">
        <f>SUM(E57:E60)</f>
        <v>2372.02</v>
      </c>
      <c r="F61" s="44"/>
      <c r="G61" s="44"/>
    </row>
    <row r="62" spans="1:7" x14ac:dyDescent="0.2">
      <c r="A62" s="16" t="s">
        <v>3</v>
      </c>
      <c r="B62" s="17" t="s">
        <v>1</v>
      </c>
      <c r="C62" s="135">
        <f>'2.Encargos Sociais'!$C$34*100</f>
        <v>70.595951999999997</v>
      </c>
      <c r="D62" s="18">
        <f>E61</f>
        <v>2372.02</v>
      </c>
      <c r="E62" s="18">
        <f>D62*C62/100</f>
        <v>1674.5501006303998</v>
      </c>
    </row>
    <row r="63" spans="1:7" s="11" customFormat="1" x14ac:dyDescent="0.2">
      <c r="A63" s="98" t="s">
        <v>241</v>
      </c>
      <c r="B63" s="256"/>
      <c r="C63" s="256"/>
      <c r="D63" s="257"/>
      <c r="E63" s="100">
        <f>E61+E62</f>
        <v>4046.5701006303998</v>
      </c>
      <c r="F63" s="44"/>
      <c r="G63" s="44"/>
    </row>
    <row r="64" spans="1:7" ht="13.5" thickBot="1" x14ac:dyDescent="0.25">
      <c r="A64" s="16" t="s">
        <v>4</v>
      </c>
      <c r="B64" s="17" t="s">
        <v>5</v>
      </c>
      <c r="C64" s="82">
        <v>1</v>
      </c>
      <c r="D64" s="18">
        <f>E63</f>
        <v>4046.5701006303998</v>
      </c>
      <c r="E64" s="18">
        <f>C64*D64</f>
        <v>4046.5701006303998</v>
      </c>
    </row>
    <row r="65" spans="1:7" ht="13.5" thickBot="1" x14ac:dyDescent="0.25">
      <c r="D65" s="118" t="s">
        <v>192</v>
      </c>
      <c r="E65" s="50">
        <f>$B$40</f>
        <v>0.6</v>
      </c>
      <c r="F65" s="119">
        <f>E64*E65</f>
        <v>2427.9420603782396</v>
      </c>
    </row>
    <row r="66" spans="1:7" ht="11.25" customHeight="1" x14ac:dyDescent="0.2"/>
    <row r="67" spans="1:7" ht="11.25" customHeight="1" x14ac:dyDescent="0.2">
      <c r="G67" s="9"/>
    </row>
    <row r="68" spans="1:7" ht="13.5" thickBot="1" x14ac:dyDescent="0.25">
      <c r="A68" s="9" t="s">
        <v>96</v>
      </c>
      <c r="B68" s="88"/>
      <c r="D68" s="9"/>
      <c r="E68" s="9"/>
      <c r="G68" s="9"/>
    </row>
    <row r="69" spans="1:7" ht="13.5" thickBot="1" x14ac:dyDescent="0.25">
      <c r="A69" s="59" t="s">
        <v>58</v>
      </c>
      <c r="B69" s="60" t="s">
        <v>59</v>
      </c>
      <c r="C69" s="60" t="s">
        <v>35</v>
      </c>
      <c r="D69" s="61" t="s">
        <v>226</v>
      </c>
      <c r="E69" s="61" t="s">
        <v>60</v>
      </c>
      <c r="F69" s="62" t="s">
        <v>61</v>
      </c>
      <c r="G69" s="9"/>
    </row>
    <row r="70" spans="1:7" x14ac:dyDescent="0.2">
      <c r="A70" s="16" t="s">
        <v>87</v>
      </c>
      <c r="B70" s="17" t="s">
        <v>31</v>
      </c>
      <c r="C70" s="89">
        <v>1</v>
      </c>
      <c r="D70" s="87">
        <v>4.8</v>
      </c>
      <c r="E70" s="18"/>
      <c r="G70" s="9"/>
    </row>
    <row r="71" spans="1:7" x14ac:dyDescent="0.2">
      <c r="A71" s="16" t="s">
        <v>88</v>
      </c>
      <c r="B71" s="17" t="s">
        <v>89</v>
      </c>
      <c r="C71" s="86">
        <v>10</v>
      </c>
      <c r="D71" s="18"/>
      <c r="E71" s="18"/>
      <c r="G71" s="9"/>
    </row>
    <row r="72" spans="1:7" x14ac:dyDescent="0.2">
      <c r="A72" s="16" t="s">
        <v>68</v>
      </c>
      <c r="B72" s="17" t="s">
        <v>7</v>
      </c>
      <c r="C72" s="37">
        <v>80</v>
      </c>
      <c r="D72" s="15">
        <f>IFERROR((($C$71*2*$D$70)-(E46*0.06*C71/26))/($C$71*2),"-")</f>
        <v>3.3200769230769231</v>
      </c>
      <c r="E72" s="18">
        <f>IFERROR(C72*D72,"-")</f>
        <v>265.60615384615386</v>
      </c>
      <c r="G72" s="9"/>
    </row>
    <row r="73" spans="1:7" ht="13.5" thickBot="1" x14ac:dyDescent="0.25">
      <c r="A73" s="13" t="s">
        <v>39</v>
      </c>
      <c r="B73" s="14" t="s">
        <v>7</v>
      </c>
      <c r="C73" s="37">
        <v>40</v>
      </c>
      <c r="D73" s="15">
        <f>IFERROR((($C$71*2*$D$70)-(E57*0.06*C71/26))/($C$71*2),"-")</f>
        <v>2.6224384615384619</v>
      </c>
      <c r="E73" s="15">
        <f>IFERROR(C73*D73,"-")</f>
        <v>104.89753846153847</v>
      </c>
      <c r="G73" s="9"/>
    </row>
    <row r="74" spans="1:7" ht="13.5" thickBot="1" x14ac:dyDescent="0.25">
      <c r="F74" s="22">
        <f>SUM(E72:E73)</f>
        <v>370.50369230769235</v>
      </c>
      <c r="G74" s="9"/>
    </row>
    <row r="75" spans="1:7" ht="11.25" customHeight="1" x14ac:dyDescent="0.2">
      <c r="G75" s="9"/>
    </row>
    <row r="76" spans="1:7" ht="13.5" thickBot="1" x14ac:dyDescent="0.25">
      <c r="A76" s="9" t="s">
        <v>119</v>
      </c>
      <c r="F76" s="23"/>
      <c r="G76" s="9"/>
    </row>
    <row r="77" spans="1:7" ht="13.5" thickBot="1" x14ac:dyDescent="0.25">
      <c r="A77" s="59" t="s">
        <v>58</v>
      </c>
      <c r="B77" s="60" t="s">
        <v>59</v>
      </c>
      <c r="C77" s="60" t="s">
        <v>35</v>
      </c>
      <c r="D77" s="61" t="s">
        <v>226</v>
      </c>
      <c r="E77" s="61" t="s">
        <v>60</v>
      </c>
      <c r="F77" s="62" t="s">
        <v>61</v>
      </c>
      <c r="G77" s="9"/>
    </row>
    <row r="78" spans="1:7" x14ac:dyDescent="0.2">
      <c r="A78" s="16" t="str">
        <f>+A72</f>
        <v>Coletor</v>
      </c>
      <c r="B78" s="17" t="s">
        <v>8</v>
      </c>
      <c r="C78" s="97">
        <v>40</v>
      </c>
      <c r="D78" s="90">
        <v>13</v>
      </c>
      <c r="E78" s="50">
        <f>C78*D78</f>
        <v>520</v>
      </c>
      <c r="F78" s="23"/>
      <c r="G78" s="9"/>
    </row>
    <row r="79" spans="1:7" ht="13.5" thickBot="1" x14ac:dyDescent="0.25">
      <c r="A79" s="16" t="str">
        <f>+A73</f>
        <v>Motorista</v>
      </c>
      <c r="B79" s="17" t="s">
        <v>8</v>
      </c>
      <c r="C79" s="97">
        <v>20</v>
      </c>
      <c r="D79" s="90">
        <v>13</v>
      </c>
      <c r="E79" s="50">
        <f>C79*D79</f>
        <v>260</v>
      </c>
      <c r="F79" s="23"/>
      <c r="G79" s="9"/>
    </row>
    <row r="80" spans="1:7" ht="13.5" thickBot="1" x14ac:dyDescent="0.25">
      <c r="F80" s="22">
        <f>SUM(E78:E79)</f>
        <v>780</v>
      </c>
      <c r="G80" s="9"/>
    </row>
    <row r="81" spans="1:7" x14ac:dyDescent="0.2">
      <c r="G81" s="9"/>
    </row>
    <row r="82" spans="1:7" ht="13.5" thickBot="1" x14ac:dyDescent="0.25">
      <c r="A82" s="9" t="s">
        <v>120</v>
      </c>
      <c r="F82" s="23"/>
      <c r="G82" s="9"/>
    </row>
    <row r="83" spans="1:7" ht="13.5" thickBot="1" x14ac:dyDescent="0.25">
      <c r="A83" s="59" t="s">
        <v>58</v>
      </c>
      <c r="B83" s="60" t="s">
        <v>59</v>
      </c>
      <c r="C83" s="60" t="s">
        <v>35</v>
      </c>
      <c r="D83" s="61" t="s">
        <v>226</v>
      </c>
      <c r="E83" s="61" t="s">
        <v>60</v>
      </c>
      <c r="F83" s="62" t="s">
        <v>61</v>
      </c>
      <c r="G83" s="9"/>
    </row>
    <row r="84" spans="1:7" x14ac:dyDescent="0.2">
      <c r="A84" s="16" t="str">
        <f>+A78</f>
        <v>Coletor</v>
      </c>
      <c r="B84" s="17" t="s">
        <v>8</v>
      </c>
      <c r="C84" s="97">
        <v>2</v>
      </c>
      <c r="D84" s="90">
        <v>200</v>
      </c>
      <c r="E84" s="50">
        <f>C84*D84</f>
        <v>400</v>
      </c>
      <c r="F84" s="23"/>
      <c r="G84" s="9"/>
    </row>
    <row r="85" spans="1:7" ht="13.5" thickBot="1" x14ac:dyDescent="0.25">
      <c r="A85" s="16" t="str">
        <f>+A79</f>
        <v>Motorista</v>
      </c>
      <c r="B85" s="17" t="s">
        <v>8</v>
      </c>
      <c r="C85" s="97">
        <v>1</v>
      </c>
      <c r="D85" s="90">
        <v>200</v>
      </c>
      <c r="E85" s="50">
        <f>C85*D85</f>
        <v>200</v>
      </c>
      <c r="F85" s="23"/>
      <c r="G85" s="9"/>
    </row>
    <row r="86" spans="1:7" ht="13.5" thickBot="1" x14ac:dyDescent="0.25">
      <c r="D86" s="118" t="s">
        <v>192</v>
      </c>
      <c r="E86" s="50">
        <f>$B$40</f>
        <v>0.6</v>
      </c>
      <c r="F86" s="22">
        <f>SUM(E84:E85)*E86</f>
        <v>360</v>
      </c>
      <c r="G86" s="9"/>
    </row>
    <row r="87" spans="1:7" ht="13.5" thickBot="1" x14ac:dyDescent="0.25">
      <c r="G87" s="9"/>
    </row>
    <row r="88" spans="1:7" ht="13.5" thickBot="1" x14ac:dyDescent="0.25">
      <c r="A88" s="24" t="s">
        <v>90</v>
      </c>
      <c r="B88" s="25"/>
      <c r="C88" s="25"/>
      <c r="D88" s="26"/>
      <c r="E88" s="27"/>
      <c r="F88" s="22">
        <f>F86+F80+F74+F65+G88+F52</f>
        <v>7614.392735677292</v>
      </c>
      <c r="G88" s="9"/>
    </row>
    <row r="90" spans="1:7" x14ac:dyDescent="0.2">
      <c r="A90" s="11" t="s">
        <v>40</v>
      </c>
      <c r="G90" s="9"/>
    </row>
    <row r="91" spans="1:7" ht="11.25" customHeight="1" x14ac:dyDescent="0.2">
      <c r="G91" s="9"/>
    </row>
    <row r="92" spans="1:7" ht="13.9" customHeight="1" x14ac:dyDescent="0.2">
      <c r="A92" s="9" t="s">
        <v>194</v>
      </c>
      <c r="G92" s="9"/>
    </row>
    <row r="93" spans="1:7" ht="11.25" customHeight="1" thickBot="1" x14ac:dyDescent="0.25">
      <c r="G93" s="9"/>
    </row>
    <row r="94" spans="1:7" ht="27.75" customHeight="1" thickBot="1" x14ac:dyDescent="0.25">
      <c r="A94" s="59" t="s">
        <v>58</v>
      </c>
      <c r="B94" s="60" t="s">
        <v>59</v>
      </c>
      <c r="C94" s="258" t="s">
        <v>242</v>
      </c>
      <c r="D94" s="61" t="s">
        <v>226</v>
      </c>
      <c r="E94" s="61" t="s">
        <v>60</v>
      </c>
      <c r="F94" s="62" t="s">
        <v>61</v>
      </c>
      <c r="G94" s="9"/>
    </row>
    <row r="95" spans="1:7" x14ac:dyDescent="0.2">
      <c r="A95" s="13" t="s">
        <v>62</v>
      </c>
      <c r="B95" s="14" t="s">
        <v>8</v>
      </c>
      <c r="C95" s="96">
        <v>12</v>
      </c>
      <c r="D95" s="83">
        <v>330</v>
      </c>
      <c r="E95" s="15">
        <f>IFERROR(D95/C95,0)</f>
        <v>27.5</v>
      </c>
      <c r="G95" s="9"/>
    </row>
    <row r="96" spans="1:7" ht="13.15" customHeight="1" x14ac:dyDescent="0.2">
      <c r="A96" s="16" t="s">
        <v>27</v>
      </c>
      <c r="B96" s="17" t="s">
        <v>8</v>
      </c>
      <c r="C96" s="96">
        <v>6</v>
      </c>
      <c r="D96" s="83">
        <v>56.52</v>
      </c>
      <c r="E96" s="15">
        <f t="shared" ref="E96:E104" si="1">IFERROR(D96/C96,0)</f>
        <v>9.42</v>
      </c>
      <c r="G96" s="9"/>
    </row>
    <row r="97" spans="1:7" x14ac:dyDescent="0.2">
      <c r="A97" s="16" t="s">
        <v>28</v>
      </c>
      <c r="B97" s="17" t="s">
        <v>8</v>
      </c>
      <c r="C97" s="96">
        <v>6</v>
      </c>
      <c r="D97" s="83">
        <v>40</v>
      </c>
      <c r="E97" s="15">
        <f t="shared" si="1"/>
        <v>6.666666666666667</v>
      </c>
      <c r="G97" s="9"/>
    </row>
    <row r="98" spans="1:7" ht="13.15" customHeight="1" x14ac:dyDescent="0.2">
      <c r="A98" s="16" t="s">
        <v>29</v>
      </c>
      <c r="B98" s="17" t="s">
        <v>8</v>
      </c>
      <c r="C98" s="96">
        <v>6</v>
      </c>
      <c r="D98" s="83">
        <v>73.5</v>
      </c>
      <c r="E98" s="15">
        <f t="shared" si="1"/>
        <v>12.25</v>
      </c>
      <c r="G98" s="9"/>
    </row>
    <row r="99" spans="1:7" ht="13.9" customHeight="1" x14ac:dyDescent="0.2">
      <c r="A99" s="16" t="s">
        <v>64</v>
      </c>
      <c r="B99" s="17" t="s">
        <v>43</v>
      </c>
      <c r="C99" s="96">
        <v>6</v>
      </c>
      <c r="D99" s="83">
        <v>149.1</v>
      </c>
      <c r="E99" s="15">
        <f t="shared" si="1"/>
        <v>24.849999999999998</v>
      </c>
      <c r="G99" s="9"/>
    </row>
    <row r="100" spans="1:7" ht="13.15" customHeight="1" x14ac:dyDescent="0.2">
      <c r="A100" s="16" t="s">
        <v>91</v>
      </c>
      <c r="B100" s="17" t="s">
        <v>43</v>
      </c>
      <c r="C100" s="96">
        <v>3</v>
      </c>
      <c r="D100" s="83">
        <v>2.83</v>
      </c>
      <c r="E100" s="15">
        <f t="shared" si="1"/>
        <v>0.94333333333333336</v>
      </c>
    </row>
    <row r="101" spans="1:7" x14ac:dyDescent="0.2">
      <c r="A101" s="16" t="s">
        <v>63</v>
      </c>
      <c r="B101" s="17" t="s">
        <v>8</v>
      </c>
      <c r="C101" s="96">
        <v>6</v>
      </c>
      <c r="D101" s="83">
        <v>27.07</v>
      </c>
      <c r="E101" s="15">
        <f t="shared" si="1"/>
        <v>4.5116666666666667</v>
      </c>
    </row>
    <row r="102" spans="1:7" s="1" customFormat="1" x14ac:dyDescent="0.2">
      <c r="A102" s="2" t="s">
        <v>9</v>
      </c>
      <c r="B102" s="3" t="s">
        <v>8</v>
      </c>
      <c r="C102" s="96">
        <v>6</v>
      </c>
      <c r="D102" s="83">
        <v>15.9</v>
      </c>
      <c r="E102" s="15">
        <f t="shared" si="1"/>
        <v>2.65</v>
      </c>
      <c r="F102" s="38"/>
      <c r="G102" s="38"/>
    </row>
    <row r="103" spans="1:7" x14ac:dyDescent="0.2">
      <c r="A103" s="16" t="s">
        <v>30</v>
      </c>
      <c r="B103" s="17" t="s">
        <v>43</v>
      </c>
      <c r="C103" s="96">
        <v>3</v>
      </c>
      <c r="D103" s="83">
        <v>3.75</v>
      </c>
      <c r="E103" s="15">
        <f t="shared" si="1"/>
        <v>1.25</v>
      </c>
    </row>
    <row r="104" spans="1:7" ht="13.15" customHeight="1" x14ac:dyDescent="0.2">
      <c r="A104" s="16" t="s">
        <v>57</v>
      </c>
      <c r="B104" s="17" t="s">
        <v>44</v>
      </c>
      <c r="C104" s="96">
        <v>2</v>
      </c>
      <c r="D104" s="83">
        <v>20.9</v>
      </c>
      <c r="E104" s="15">
        <f t="shared" si="1"/>
        <v>10.45</v>
      </c>
    </row>
    <row r="105" spans="1:7" x14ac:dyDescent="0.2">
      <c r="A105" s="16" t="s">
        <v>195</v>
      </c>
      <c r="B105" s="17" t="s">
        <v>121</v>
      </c>
      <c r="C105" s="116">
        <v>1</v>
      </c>
      <c r="D105" s="83">
        <v>100</v>
      </c>
      <c r="E105" s="18">
        <f t="shared" ref="E105:E106" si="2">C105*D105</f>
        <v>100</v>
      </c>
    </row>
    <row r="106" spans="1:7" ht="13.5" thickBot="1" x14ac:dyDescent="0.25">
      <c r="A106" s="16" t="s">
        <v>4</v>
      </c>
      <c r="B106" s="17" t="s">
        <v>5</v>
      </c>
      <c r="C106" s="68">
        <v>2</v>
      </c>
      <c r="D106" s="18">
        <f>+SUM(E95:E105)</f>
        <v>200.49166666666667</v>
      </c>
      <c r="E106" s="18">
        <f t="shared" si="2"/>
        <v>400.98333333333335</v>
      </c>
    </row>
    <row r="107" spans="1:7" ht="13.5" thickBot="1" x14ac:dyDescent="0.25">
      <c r="D107" s="118" t="s">
        <v>192</v>
      </c>
      <c r="E107" s="50">
        <f>$B$40</f>
        <v>0.6</v>
      </c>
      <c r="F107" s="119">
        <f>E106*E107</f>
        <v>240.59</v>
      </c>
    </row>
    <row r="108" spans="1:7" ht="11.25" customHeight="1" x14ac:dyDescent="0.2"/>
    <row r="109" spans="1:7" ht="13.9" customHeight="1" x14ac:dyDescent="0.2">
      <c r="A109" s="9" t="s">
        <v>196</v>
      </c>
    </row>
    <row r="110" spans="1:7" ht="11.25" customHeight="1" thickBot="1" x14ac:dyDescent="0.25"/>
    <row r="111" spans="1:7" ht="24.75" thickBot="1" x14ac:dyDescent="0.25">
      <c r="A111" s="59" t="s">
        <v>58</v>
      </c>
      <c r="B111" s="60" t="s">
        <v>59</v>
      </c>
      <c r="C111" s="258" t="s">
        <v>242</v>
      </c>
      <c r="D111" s="61" t="s">
        <v>226</v>
      </c>
      <c r="E111" s="61" t="s">
        <v>60</v>
      </c>
      <c r="F111" s="62" t="s">
        <v>61</v>
      </c>
    </row>
    <row r="112" spans="1:7" x14ac:dyDescent="0.2">
      <c r="A112" s="13" t="s">
        <v>62</v>
      </c>
      <c r="B112" s="14" t="s">
        <v>8</v>
      </c>
      <c r="C112" s="96">
        <v>12</v>
      </c>
      <c r="D112" s="15">
        <f>+D95</f>
        <v>330</v>
      </c>
      <c r="E112" s="15">
        <f>IFERROR(D112/C112,0)</f>
        <v>27.5</v>
      </c>
    </row>
    <row r="113" spans="1:7" x14ac:dyDescent="0.2">
      <c r="A113" s="16" t="s">
        <v>27</v>
      </c>
      <c r="B113" s="17" t="s">
        <v>8</v>
      </c>
      <c r="C113" s="96">
        <v>6</v>
      </c>
      <c r="D113" s="18">
        <f>+D96</f>
        <v>56.52</v>
      </c>
      <c r="E113" s="15">
        <f t="shared" ref="E113:E117" si="3">IFERROR(D113/C113,0)</f>
        <v>9.42</v>
      </c>
    </row>
    <row r="114" spans="1:7" x14ac:dyDescent="0.2">
      <c r="A114" s="16" t="s">
        <v>28</v>
      </c>
      <c r="B114" s="17" t="s">
        <v>8</v>
      </c>
      <c r="C114" s="96">
        <v>6</v>
      </c>
      <c r="D114" s="18">
        <f>+D97</f>
        <v>40</v>
      </c>
      <c r="E114" s="15">
        <f t="shared" si="3"/>
        <v>6.666666666666667</v>
      </c>
    </row>
    <row r="115" spans="1:7" x14ac:dyDescent="0.2">
      <c r="A115" s="16" t="s">
        <v>64</v>
      </c>
      <c r="B115" s="17" t="s">
        <v>43</v>
      </c>
      <c r="C115" s="96">
        <v>6</v>
      </c>
      <c r="D115" s="18">
        <f>+D99</f>
        <v>149.1</v>
      </c>
      <c r="E115" s="15">
        <f t="shared" si="3"/>
        <v>24.849999999999998</v>
      </c>
    </row>
    <row r="116" spans="1:7" x14ac:dyDescent="0.2">
      <c r="A116" s="16" t="s">
        <v>63</v>
      </c>
      <c r="B116" s="17" t="s">
        <v>8</v>
      </c>
      <c r="C116" s="96">
        <v>6</v>
      </c>
      <c r="D116" s="18">
        <f>+D101</f>
        <v>27.07</v>
      </c>
      <c r="E116" s="15">
        <f t="shared" si="3"/>
        <v>4.5116666666666667</v>
      </c>
      <c r="G116" s="9"/>
    </row>
    <row r="117" spans="1:7" x14ac:dyDescent="0.2">
      <c r="A117" s="16" t="s">
        <v>57</v>
      </c>
      <c r="B117" s="17" t="s">
        <v>44</v>
      </c>
      <c r="C117" s="96">
        <v>2</v>
      </c>
      <c r="D117" s="18">
        <f>+D104</f>
        <v>20.9</v>
      </c>
      <c r="E117" s="15">
        <f t="shared" si="3"/>
        <v>10.45</v>
      </c>
      <c r="G117" s="9"/>
    </row>
    <row r="118" spans="1:7" x14ac:dyDescent="0.2">
      <c r="A118" s="16" t="s">
        <v>195</v>
      </c>
      <c r="B118" s="17" t="s">
        <v>121</v>
      </c>
      <c r="C118" s="116">
        <v>1</v>
      </c>
      <c r="D118" s="83">
        <v>100</v>
      </c>
      <c r="E118" s="18">
        <f t="shared" ref="E118:E119" si="4">C118*D118</f>
        <v>100</v>
      </c>
      <c r="G118" s="9"/>
    </row>
    <row r="119" spans="1:7" ht="13.5" thickBot="1" x14ac:dyDescent="0.25">
      <c r="A119" s="16" t="s">
        <v>4</v>
      </c>
      <c r="B119" s="17" t="s">
        <v>5</v>
      </c>
      <c r="C119" s="68">
        <v>1</v>
      </c>
      <c r="D119" s="18">
        <f>+SUM(E112:E118)</f>
        <v>183.39833333333334</v>
      </c>
      <c r="E119" s="18">
        <f t="shared" si="4"/>
        <v>183.39833333333334</v>
      </c>
      <c r="G119" s="9"/>
    </row>
    <row r="120" spans="1:7" ht="13.5" thickBot="1" x14ac:dyDescent="0.25">
      <c r="D120" s="118" t="s">
        <v>192</v>
      </c>
      <c r="E120" s="50">
        <f>$B$40</f>
        <v>0.6</v>
      </c>
      <c r="F120" s="119">
        <f>E119*E120</f>
        <v>110.039</v>
      </c>
      <c r="G120" s="9"/>
    </row>
    <row r="121" spans="1:7" ht="11.25" customHeight="1" thickBot="1" x14ac:dyDescent="0.25">
      <c r="G121" s="9"/>
    </row>
    <row r="122" spans="1:7" ht="13.5" thickBot="1" x14ac:dyDescent="0.25">
      <c r="A122" s="24" t="s">
        <v>197</v>
      </c>
      <c r="B122" s="28"/>
      <c r="C122" s="28"/>
      <c r="D122" s="29"/>
      <c r="E122" s="30"/>
      <c r="F122" s="21">
        <f>+F107+F120</f>
        <v>350.62900000000002</v>
      </c>
      <c r="G122" s="9"/>
    </row>
    <row r="123" spans="1:7" ht="11.25" customHeight="1" x14ac:dyDescent="0.2">
      <c r="G123" s="9"/>
    </row>
    <row r="124" spans="1:7" x14ac:dyDescent="0.2">
      <c r="A124" s="11" t="s">
        <v>49</v>
      </c>
      <c r="G124" s="9"/>
    </row>
    <row r="125" spans="1:7" ht="11.25" customHeight="1" x14ac:dyDescent="0.2">
      <c r="B125" s="102"/>
      <c r="G125" s="9"/>
    </row>
    <row r="126" spans="1:7" x14ac:dyDescent="0.2">
      <c r="A126" s="7" t="s">
        <v>286</v>
      </c>
      <c r="G126" s="9"/>
    </row>
    <row r="127" spans="1:7" ht="11.25" customHeight="1" x14ac:dyDescent="0.2">
      <c r="G127" s="9"/>
    </row>
    <row r="128" spans="1:7" ht="13.5" thickBot="1" x14ac:dyDescent="0.25">
      <c r="A128" s="102" t="s">
        <v>41</v>
      </c>
      <c r="G128" s="9"/>
    </row>
    <row r="129" spans="1:10" ht="13.5" thickBot="1" x14ac:dyDescent="0.25">
      <c r="A129" s="59" t="s">
        <v>58</v>
      </c>
      <c r="B129" s="60" t="s">
        <v>59</v>
      </c>
      <c r="C129" s="60" t="s">
        <v>35</v>
      </c>
      <c r="D129" s="61" t="s">
        <v>226</v>
      </c>
      <c r="E129" s="61" t="s">
        <v>60</v>
      </c>
      <c r="F129" s="62" t="s">
        <v>61</v>
      </c>
      <c r="G129" s="9"/>
    </row>
    <row r="130" spans="1:10" x14ac:dyDescent="0.2">
      <c r="A130" s="13" t="s">
        <v>103</v>
      </c>
      <c r="B130" s="14" t="s">
        <v>8</v>
      </c>
      <c r="C130" s="264">
        <v>1</v>
      </c>
      <c r="D130" s="83">
        <v>362946</v>
      </c>
      <c r="E130" s="15">
        <f>C130*D130</f>
        <v>362946</v>
      </c>
      <c r="G130" s="9"/>
    </row>
    <row r="131" spans="1:10" x14ac:dyDescent="0.2">
      <c r="A131" s="16" t="s">
        <v>97</v>
      </c>
      <c r="B131" s="17" t="s">
        <v>98</v>
      </c>
      <c r="C131" s="82">
        <v>10</v>
      </c>
      <c r="D131" s="79"/>
      <c r="E131" s="18"/>
      <c r="G131" s="9"/>
    </row>
    <row r="132" spans="1:10" x14ac:dyDescent="0.2">
      <c r="A132" s="16" t="s">
        <v>204</v>
      </c>
      <c r="B132" s="17" t="s">
        <v>98</v>
      </c>
      <c r="C132" s="82">
        <v>0</v>
      </c>
      <c r="D132" s="18"/>
      <c r="E132" s="18"/>
      <c r="F132" s="20"/>
      <c r="I132" s="81"/>
      <c r="J132" s="81"/>
    </row>
    <row r="133" spans="1:10" x14ac:dyDescent="0.2">
      <c r="A133" s="16" t="s">
        <v>101</v>
      </c>
      <c r="B133" s="17" t="s">
        <v>1</v>
      </c>
      <c r="C133" s="135">
        <f>IFERROR(VLOOKUP(C131,'5. Depreciação'!A3:B17,2,FALSE),0)</f>
        <v>65.180000000000007</v>
      </c>
      <c r="D133" s="18">
        <f>E130</f>
        <v>362946</v>
      </c>
      <c r="E133" s="18">
        <f>C133*D133/100</f>
        <v>236568.2028</v>
      </c>
    </row>
    <row r="134" spans="1:10" ht="13.5" thickBot="1" x14ac:dyDescent="0.25">
      <c r="A134" s="267" t="s">
        <v>45</v>
      </c>
      <c r="B134" s="268" t="s">
        <v>6</v>
      </c>
      <c r="C134" s="268">
        <f>C131*12</f>
        <v>120</v>
      </c>
      <c r="D134" s="269">
        <f>IF(C132&lt;=C131,E133,0)</f>
        <v>236568.2028</v>
      </c>
      <c r="E134" s="269">
        <f>IFERROR(D134/C134,0)</f>
        <v>1971.4016899999999</v>
      </c>
    </row>
    <row r="135" spans="1:10" ht="13.5" thickTop="1" x14ac:dyDescent="0.2">
      <c r="A135" s="13" t="s">
        <v>102</v>
      </c>
      <c r="B135" s="14" t="s">
        <v>8</v>
      </c>
      <c r="C135" s="14">
        <f>C130</f>
        <v>1</v>
      </c>
      <c r="D135" s="83">
        <v>176454</v>
      </c>
      <c r="E135" s="15">
        <f>C135*D135</f>
        <v>176454</v>
      </c>
      <c r="G135" s="9"/>
    </row>
    <row r="136" spans="1:10" x14ac:dyDescent="0.2">
      <c r="A136" s="16" t="s">
        <v>99</v>
      </c>
      <c r="B136" s="17" t="s">
        <v>98</v>
      </c>
      <c r="C136" s="82">
        <v>10</v>
      </c>
      <c r="D136" s="18"/>
      <c r="E136" s="18"/>
    </row>
    <row r="137" spans="1:10" x14ac:dyDescent="0.2">
      <c r="A137" s="16" t="s">
        <v>205</v>
      </c>
      <c r="B137" s="17" t="s">
        <v>98</v>
      </c>
      <c r="C137" s="82">
        <v>0</v>
      </c>
      <c r="D137" s="18"/>
      <c r="E137" s="18"/>
      <c r="F137" s="20"/>
      <c r="I137" s="81"/>
      <c r="J137" s="81"/>
    </row>
    <row r="138" spans="1:10" x14ac:dyDescent="0.2">
      <c r="A138" s="16" t="s">
        <v>100</v>
      </c>
      <c r="B138" s="17" t="s">
        <v>1</v>
      </c>
      <c r="C138" s="136">
        <f>IFERROR(VLOOKUP(C136,'5. Depreciação'!A3:B17,2,FALSE),0)</f>
        <v>65.180000000000007</v>
      </c>
      <c r="D138" s="18">
        <f>E135</f>
        <v>176454</v>
      </c>
      <c r="E138" s="18">
        <f>C138*D138/100</f>
        <v>115012.71720000001</v>
      </c>
    </row>
    <row r="139" spans="1:10" x14ac:dyDescent="0.2">
      <c r="A139" s="98" t="s">
        <v>104</v>
      </c>
      <c r="B139" s="99" t="s">
        <v>6</v>
      </c>
      <c r="C139" s="99">
        <f>C136*12</f>
        <v>120</v>
      </c>
      <c r="D139" s="100">
        <f>IF(C137&lt;=C136,E138,0)</f>
        <v>115012.71720000001</v>
      </c>
      <c r="E139" s="100">
        <f>IFERROR(D139/C139,0)</f>
        <v>958.43931000000009</v>
      </c>
    </row>
    <row r="140" spans="1:10" x14ac:dyDescent="0.2">
      <c r="A140" s="112" t="s">
        <v>245</v>
      </c>
      <c r="B140" s="113"/>
      <c r="C140" s="113"/>
      <c r="D140" s="114"/>
      <c r="E140" s="115">
        <f>E134+E139</f>
        <v>2929.8409999999999</v>
      </c>
    </row>
    <row r="141" spans="1:10" ht="13.5" thickBot="1" x14ac:dyDescent="0.25">
      <c r="A141" s="98" t="s">
        <v>246</v>
      </c>
      <c r="B141" s="99" t="s">
        <v>8</v>
      </c>
      <c r="C141" s="82">
        <v>1</v>
      </c>
      <c r="D141" s="100">
        <f>E140</f>
        <v>2929.8409999999999</v>
      </c>
      <c r="E141" s="115">
        <f>C141*D141</f>
        <v>2929.8409999999999</v>
      </c>
    </row>
    <row r="142" spans="1:10" ht="13.5" thickBot="1" x14ac:dyDescent="0.25">
      <c r="A142" s="263"/>
      <c r="B142" s="263"/>
      <c r="C142" s="263"/>
      <c r="D142" s="118" t="s">
        <v>192</v>
      </c>
      <c r="E142" s="50">
        <f>$B$40</f>
        <v>0.6</v>
      </c>
      <c r="F142" s="21">
        <f>E141*E142</f>
        <v>1757.9045999999998</v>
      </c>
    </row>
    <row r="143" spans="1:10" ht="11.25" customHeight="1" x14ac:dyDescent="0.2"/>
    <row r="144" spans="1:10" ht="13.5" thickBot="1" x14ac:dyDescent="0.25">
      <c r="A144" s="102" t="s">
        <v>109</v>
      </c>
    </row>
    <row r="145" spans="1:10" ht="13.5" thickBot="1" x14ac:dyDescent="0.25">
      <c r="A145" s="104" t="s">
        <v>58</v>
      </c>
      <c r="B145" s="105" t="s">
        <v>59</v>
      </c>
      <c r="C145" s="105" t="s">
        <v>35</v>
      </c>
      <c r="D145" s="61" t="s">
        <v>226</v>
      </c>
      <c r="E145" s="106" t="s">
        <v>60</v>
      </c>
      <c r="F145" s="62" t="s">
        <v>61</v>
      </c>
      <c r="I145" s="81"/>
      <c r="J145" s="81"/>
    </row>
    <row r="146" spans="1:10" x14ac:dyDescent="0.2">
      <c r="A146" s="16" t="s">
        <v>107</v>
      </c>
      <c r="B146" s="17" t="s">
        <v>8</v>
      </c>
      <c r="C146" s="264">
        <v>1</v>
      </c>
      <c r="D146" s="18">
        <f>D130</f>
        <v>362946</v>
      </c>
      <c r="E146" s="18">
        <f>C146*D146</f>
        <v>362946</v>
      </c>
      <c r="F146" s="20"/>
      <c r="I146" s="81"/>
      <c r="J146" s="81"/>
    </row>
    <row r="147" spans="1:10" x14ac:dyDescent="0.2">
      <c r="A147" s="16" t="s">
        <v>208</v>
      </c>
      <c r="B147" s="17" t="s">
        <v>1</v>
      </c>
      <c r="C147" s="82">
        <v>13.25</v>
      </c>
      <c r="D147" s="18"/>
      <c r="E147" s="18"/>
      <c r="F147" s="20"/>
      <c r="I147" s="81"/>
      <c r="J147" s="81"/>
    </row>
    <row r="148" spans="1:10" x14ac:dyDescent="0.2">
      <c r="A148" s="16" t="s">
        <v>206</v>
      </c>
      <c r="B148" s="17" t="s">
        <v>31</v>
      </c>
      <c r="C148" s="143">
        <f>IFERROR(IF(C132&lt;=C131,E130-(C133/(100*C131)*C132)*E130,E130-E133),0)</f>
        <v>362946</v>
      </c>
      <c r="D148" s="18"/>
      <c r="E148" s="18"/>
      <c r="F148" s="20"/>
      <c r="I148" s="81"/>
      <c r="J148" s="81"/>
    </row>
    <row r="149" spans="1:10" x14ac:dyDescent="0.2">
      <c r="A149" s="16" t="s">
        <v>112</v>
      </c>
      <c r="B149" s="17" t="s">
        <v>31</v>
      </c>
      <c r="C149" s="79">
        <f>IFERROR(IF(C132&gt;=C131,C148,((((C148)-(E130-E133))*(((C131-C132)+1)/(2*(C131-C132))))+(E130-E133))),0)</f>
        <v>256490.30874000001</v>
      </c>
      <c r="D149" s="18"/>
      <c r="E149" s="18"/>
      <c r="F149" s="20"/>
      <c r="I149" s="81"/>
      <c r="J149" s="81"/>
    </row>
    <row r="150" spans="1:10" ht="13.5" thickBot="1" x14ac:dyDescent="0.25">
      <c r="A150" s="267" t="s">
        <v>113</v>
      </c>
      <c r="B150" s="268" t="s">
        <v>31</v>
      </c>
      <c r="C150" s="268"/>
      <c r="D150" s="270">
        <f>C147*C149/12/100</f>
        <v>2832.0804923375003</v>
      </c>
      <c r="E150" s="269">
        <f>D150</f>
        <v>2832.0804923375003</v>
      </c>
      <c r="F150" s="20"/>
      <c r="I150" s="81"/>
      <c r="J150" s="81"/>
    </row>
    <row r="151" spans="1:10" ht="13.5" thickTop="1" x14ac:dyDescent="0.2">
      <c r="A151" s="13" t="s">
        <v>108</v>
      </c>
      <c r="B151" s="14" t="s">
        <v>8</v>
      </c>
      <c r="C151" s="14">
        <f>C135</f>
        <v>1</v>
      </c>
      <c r="D151" s="15">
        <f>D135</f>
        <v>176454</v>
      </c>
      <c r="E151" s="15">
        <f>C151*D151</f>
        <v>176454</v>
      </c>
      <c r="F151" s="20"/>
      <c r="I151" s="81"/>
      <c r="J151" s="81"/>
    </row>
    <row r="152" spans="1:10" x14ac:dyDescent="0.2">
      <c r="A152" s="16" t="s">
        <v>208</v>
      </c>
      <c r="B152" s="17" t="s">
        <v>1</v>
      </c>
      <c r="C152" s="265">
        <f>C147</f>
        <v>13.25</v>
      </c>
      <c r="D152" s="18"/>
      <c r="E152" s="18"/>
      <c r="F152" s="20"/>
      <c r="I152" s="81"/>
      <c r="J152" s="81"/>
    </row>
    <row r="153" spans="1:10" x14ac:dyDescent="0.2">
      <c r="A153" s="16" t="s">
        <v>207</v>
      </c>
      <c r="B153" s="17" t="s">
        <v>31</v>
      </c>
      <c r="C153" s="143">
        <f>IFERROR(IF(C137&lt;=C136,E135-(C138/(100*C136)*C137)*E135,E135-E138),0)</f>
        <v>176454</v>
      </c>
      <c r="D153" s="18"/>
      <c r="E153" s="18"/>
      <c r="F153" s="20"/>
      <c r="I153" s="81"/>
      <c r="J153" s="81"/>
    </row>
    <row r="154" spans="1:10" x14ac:dyDescent="0.2">
      <c r="A154" s="16" t="s">
        <v>114</v>
      </c>
      <c r="B154" s="17" t="s">
        <v>31</v>
      </c>
      <c r="C154" s="79">
        <f>IFERROR(IF(C137&gt;=C136,C153,((((C153)-(E135-E138))*(((C136-C137)+1)/(2*(C136-C137))))+(E135-E138))),0)</f>
        <v>124698.27726</v>
      </c>
      <c r="D154" s="18"/>
      <c r="E154" s="18"/>
      <c r="F154" s="20"/>
      <c r="I154" s="81"/>
      <c r="J154" s="81"/>
    </row>
    <row r="155" spans="1:10" x14ac:dyDescent="0.2">
      <c r="A155" s="98" t="s">
        <v>111</v>
      </c>
      <c r="B155" s="99" t="s">
        <v>31</v>
      </c>
      <c r="C155" s="99"/>
      <c r="D155" s="108">
        <f>C152*C154/12/100</f>
        <v>1376.8768114125</v>
      </c>
      <c r="E155" s="100">
        <f>D155</f>
        <v>1376.8768114125</v>
      </c>
      <c r="F155" s="20"/>
      <c r="I155" s="81"/>
      <c r="J155" s="81"/>
    </row>
    <row r="156" spans="1:10" x14ac:dyDescent="0.2">
      <c r="A156" s="112" t="s">
        <v>245</v>
      </c>
      <c r="B156" s="113"/>
      <c r="C156" s="113"/>
      <c r="D156" s="114"/>
      <c r="E156" s="115">
        <f>E150+E155</f>
        <v>4208.9573037500004</v>
      </c>
      <c r="F156" s="20"/>
      <c r="I156" s="81"/>
      <c r="J156" s="81"/>
    </row>
    <row r="157" spans="1:10" ht="13.5" thickBot="1" x14ac:dyDescent="0.25">
      <c r="A157" s="98" t="s">
        <v>246</v>
      </c>
      <c r="B157" s="99" t="s">
        <v>8</v>
      </c>
      <c r="C157" s="265">
        <f>C141</f>
        <v>1</v>
      </c>
      <c r="D157" s="100">
        <f>E156</f>
        <v>4208.9573037500004</v>
      </c>
      <c r="E157" s="115">
        <f>C157*D157</f>
        <v>4208.9573037500004</v>
      </c>
      <c r="F157" s="20"/>
      <c r="I157" s="81"/>
      <c r="J157" s="81"/>
    </row>
    <row r="158" spans="1:10" ht="13.5" thickBot="1" x14ac:dyDescent="0.25">
      <c r="C158" s="19"/>
      <c r="D158" s="118" t="s">
        <v>192</v>
      </c>
      <c r="E158" s="50">
        <f>$B$40</f>
        <v>0.6</v>
      </c>
      <c r="F158" s="21">
        <f>E157*E158</f>
        <v>2525.3743822500001</v>
      </c>
      <c r="I158" s="81"/>
      <c r="J158" s="81"/>
    </row>
    <row r="159" spans="1:10" ht="11.25" customHeight="1" x14ac:dyDescent="0.2">
      <c r="I159" s="81"/>
      <c r="J159" s="81"/>
    </row>
    <row r="160" spans="1:10" ht="13.5" thickBot="1" x14ac:dyDescent="0.25">
      <c r="A160" s="9" t="s">
        <v>46</v>
      </c>
      <c r="I160" s="81"/>
      <c r="J160" s="81"/>
    </row>
    <row r="161" spans="1:10" ht="13.5" thickBot="1" x14ac:dyDescent="0.25">
      <c r="A161" s="59" t="s">
        <v>58</v>
      </c>
      <c r="B161" s="60" t="s">
        <v>59</v>
      </c>
      <c r="C161" s="60" t="s">
        <v>35</v>
      </c>
      <c r="D161" s="61" t="s">
        <v>226</v>
      </c>
      <c r="E161" s="61" t="s">
        <v>60</v>
      </c>
      <c r="F161" s="62" t="s">
        <v>61</v>
      </c>
      <c r="I161" s="81"/>
      <c r="J161" s="81"/>
    </row>
    <row r="162" spans="1:10" x14ac:dyDescent="0.2">
      <c r="A162" s="13" t="s">
        <v>10</v>
      </c>
      <c r="B162" s="14" t="s">
        <v>8</v>
      </c>
      <c r="C162" s="15">
        <f>C141</f>
        <v>1</v>
      </c>
      <c r="D162" s="15">
        <f>0.01*($E$130)</f>
        <v>3629.46</v>
      </c>
      <c r="E162" s="15">
        <f>C162*D162</f>
        <v>3629.46</v>
      </c>
      <c r="I162" s="81"/>
      <c r="J162" s="81"/>
    </row>
    <row r="163" spans="1:10" x14ac:dyDescent="0.2">
      <c r="A163" s="16" t="s">
        <v>191</v>
      </c>
      <c r="B163" s="17" t="s">
        <v>8</v>
      </c>
      <c r="C163" s="15">
        <f>C141</f>
        <v>1</v>
      </c>
      <c r="D163" s="84">
        <v>270.95</v>
      </c>
      <c r="E163" s="18">
        <f>C163*D163</f>
        <v>270.95</v>
      </c>
      <c r="I163" s="81"/>
      <c r="J163" s="81"/>
    </row>
    <row r="164" spans="1:10" x14ac:dyDescent="0.2">
      <c r="A164" s="16" t="s">
        <v>11</v>
      </c>
      <c r="B164" s="17" t="s">
        <v>8</v>
      </c>
      <c r="C164" s="15">
        <f>C141</f>
        <v>1</v>
      </c>
      <c r="D164" s="84">
        <v>2000</v>
      </c>
      <c r="E164" s="18">
        <f>C164*D164</f>
        <v>2000</v>
      </c>
      <c r="F164" s="31"/>
      <c r="I164" s="81"/>
      <c r="J164" s="81"/>
    </row>
    <row r="165" spans="1:10" ht="13.5" thickBot="1" x14ac:dyDescent="0.25">
      <c r="A165" s="98" t="s">
        <v>12</v>
      </c>
      <c r="B165" s="99" t="s">
        <v>6</v>
      </c>
      <c r="C165" s="99">
        <v>12</v>
      </c>
      <c r="D165" s="100">
        <f>SUM(E162:E164)</f>
        <v>5900.41</v>
      </c>
      <c r="E165" s="100">
        <f>D165/C165</f>
        <v>491.70083333333332</v>
      </c>
      <c r="I165" s="81"/>
      <c r="J165" s="81"/>
    </row>
    <row r="166" spans="1:10" ht="13.5" thickBot="1" x14ac:dyDescent="0.25">
      <c r="D166" s="118" t="s">
        <v>192</v>
      </c>
      <c r="E166" s="50">
        <f>$B$40</f>
        <v>0.6</v>
      </c>
      <c r="F166" s="119">
        <f>E165*E166</f>
        <v>295.02049999999997</v>
      </c>
      <c r="I166" s="81"/>
      <c r="J166" s="81"/>
    </row>
    <row r="167" spans="1:10" ht="11.25" customHeight="1" x14ac:dyDescent="0.2">
      <c r="I167" s="81"/>
      <c r="J167" s="81"/>
    </row>
    <row r="168" spans="1:10" x14ac:dyDescent="0.2">
      <c r="A168" s="9" t="s">
        <v>47</v>
      </c>
      <c r="B168" s="32"/>
      <c r="I168" s="81"/>
      <c r="J168" s="81"/>
    </row>
    <row r="169" spans="1:10" x14ac:dyDescent="0.2">
      <c r="B169" s="32"/>
      <c r="I169" s="81"/>
      <c r="J169" s="81"/>
    </row>
    <row r="170" spans="1:10" x14ac:dyDescent="0.2">
      <c r="A170" s="98" t="s">
        <v>116</v>
      </c>
      <c r="B170" s="109">
        <v>1816</v>
      </c>
      <c r="I170" s="81"/>
      <c r="J170" s="81"/>
    </row>
    <row r="171" spans="1:10" ht="13.5" thickBot="1" x14ac:dyDescent="0.25">
      <c r="B171" s="32"/>
      <c r="I171" s="81"/>
      <c r="J171" s="81"/>
    </row>
    <row r="172" spans="1:10" ht="13.5" thickBot="1" x14ac:dyDescent="0.25">
      <c r="A172" s="59" t="s">
        <v>58</v>
      </c>
      <c r="B172" s="60" t="s">
        <v>59</v>
      </c>
      <c r="C172" s="60" t="s">
        <v>244</v>
      </c>
      <c r="D172" s="61" t="s">
        <v>226</v>
      </c>
      <c r="E172" s="61" t="s">
        <v>60</v>
      </c>
      <c r="F172" s="62" t="s">
        <v>61</v>
      </c>
      <c r="I172" s="81"/>
      <c r="J172" s="81"/>
    </row>
    <row r="173" spans="1:10" x14ac:dyDescent="0.2">
      <c r="A173" s="13" t="s">
        <v>13</v>
      </c>
      <c r="B173" s="14" t="s">
        <v>14</v>
      </c>
      <c r="C173" s="92">
        <v>3.5</v>
      </c>
      <c r="D173" s="93">
        <v>7.01</v>
      </c>
      <c r="E173" s="15"/>
      <c r="I173" s="81"/>
      <c r="J173" s="81"/>
    </row>
    <row r="174" spans="1:10" x14ac:dyDescent="0.2">
      <c r="A174" s="16" t="s">
        <v>15</v>
      </c>
      <c r="B174" s="17" t="s">
        <v>16</v>
      </c>
      <c r="C174" s="89">
        <f>B170</f>
        <v>1816</v>
      </c>
      <c r="D174" s="262">
        <f>IFERROR(+D173/C173,"-")</f>
        <v>2.0028571428571427</v>
      </c>
      <c r="E174" s="18">
        <f>IFERROR(C174*D174,"-")</f>
        <v>3637.1885714285709</v>
      </c>
      <c r="I174" s="81"/>
      <c r="J174" s="81"/>
    </row>
    <row r="175" spans="1:10" x14ac:dyDescent="0.2">
      <c r="A175" s="16" t="s">
        <v>227</v>
      </c>
      <c r="B175" s="17" t="s">
        <v>17</v>
      </c>
      <c r="C175" s="95">
        <v>2</v>
      </c>
      <c r="D175" s="84">
        <v>17.55</v>
      </c>
      <c r="E175" s="18"/>
      <c r="G175" s="107"/>
      <c r="H175" s="52"/>
      <c r="I175" s="81"/>
      <c r="J175" s="81"/>
    </row>
    <row r="176" spans="1:10" x14ac:dyDescent="0.2">
      <c r="A176" s="16" t="s">
        <v>18</v>
      </c>
      <c r="B176" s="17" t="s">
        <v>16</v>
      </c>
      <c r="C176" s="89">
        <f>C174</f>
        <v>1816</v>
      </c>
      <c r="D176" s="259">
        <f>+C175*D175/1000</f>
        <v>3.5099999999999999E-2</v>
      </c>
      <c r="E176" s="18">
        <f>C176*D176</f>
        <v>63.741599999999998</v>
      </c>
      <c r="G176" s="107"/>
      <c r="H176" s="52"/>
      <c r="I176" s="81"/>
      <c r="J176" s="81"/>
    </row>
    <row r="177" spans="1:10" x14ac:dyDescent="0.2">
      <c r="A177" s="16" t="s">
        <v>228</v>
      </c>
      <c r="B177" s="17" t="s">
        <v>17</v>
      </c>
      <c r="C177" s="95">
        <v>0.66</v>
      </c>
      <c r="D177" s="84">
        <v>23</v>
      </c>
      <c r="E177" s="18"/>
      <c r="G177" s="107"/>
      <c r="H177" s="52"/>
      <c r="I177" s="81"/>
      <c r="J177" s="81"/>
    </row>
    <row r="178" spans="1:10" x14ac:dyDescent="0.2">
      <c r="A178" s="16" t="s">
        <v>19</v>
      </c>
      <c r="B178" s="17" t="s">
        <v>16</v>
      </c>
      <c r="C178" s="89">
        <f>C174</f>
        <v>1816</v>
      </c>
      <c r="D178" s="259">
        <f>+C177*D177/1000</f>
        <v>1.5180000000000001E-2</v>
      </c>
      <c r="E178" s="18">
        <f>C178*D178</f>
        <v>27.566880000000001</v>
      </c>
      <c r="G178" s="107"/>
      <c r="H178" s="52"/>
      <c r="I178" s="81"/>
      <c r="J178" s="81"/>
    </row>
    <row r="179" spans="1:10" x14ac:dyDescent="0.2">
      <c r="A179" s="16" t="s">
        <v>229</v>
      </c>
      <c r="B179" s="17" t="s">
        <v>17</v>
      </c>
      <c r="C179" s="95">
        <v>0.8</v>
      </c>
      <c r="D179" s="84">
        <v>23</v>
      </c>
      <c r="E179" s="18"/>
      <c r="G179" s="107"/>
      <c r="H179" s="52"/>
      <c r="I179" s="81"/>
      <c r="J179" s="81"/>
    </row>
    <row r="180" spans="1:10" x14ac:dyDescent="0.2">
      <c r="A180" s="16" t="s">
        <v>20</v>
      </c>
      <c r="B180" s="17" t="s">
        <v>16</v>
      </c>
      <c r="C180" s="89">
        <f>C174</f>
        <v>1816</v>
      </c>
      <c r="D180" s="259">
        <f>+C179*D179/1000</f>
        <v>1.8400000000000003E-2</v>
      </c>
      <c r="E180" s="18">
        <f>C180*D180</f>
        <v>33.414400000000008</v>
      </c>
      <c r="G180" s="107"/>
      <c r="H180" s="52"/>
      <c r="I180" s="81"/>
      <c r="J180" s="81"/>
    </row>
    <row r="181" spans="1:10" x14ac:dyDescent="0.2">
      <c r="A181" s="16" t="s">
        <v>21</v>
      </c>
      <c r="B181" s="17" t="s">
        <v>22</v>
      </c>
      <c r="C181" s="95">
        <v>0.66</v>
      </c>
      <c r="D181" s="84">
        <v>17.78</v>
      </c>
      <c r="E181" s="18"/>
      <c r="G181" s="107"/>
      <c r="H181" s="52"/>
      <c r="I181" s="81"/>
      <c r="J181" s="81"/>
    </row>
    <row r="182" spans="1:10" x14ac:dyDescent="0.2">
      <c r="A182" s="16" t="s">
        <v>23</v>
      </c>
      <c r="B182" s="17" t="s">
        <v>16</v>
      </c>
      <c r="C182" s="89">
        <f>C174</f>
        <v>1816</v>
      </c>
      <c r="D182" s="259">
        <f>+C181*D181/1000</f>
        <v>1.1734800000000002E-2</v>
      </c>
      <c r="E182" s="18">
        <f>C182*D182</f>
        <v>21.310396800000003</v>
      </c>
      <c r="G182" s="107"/>
      <c r="H182" s="52"/>
      <c r="I182" s="81"/>
      <c r="J182" s="81"/>
    </row>
    <row r="183" spans="1:10" ht="13.5" thickBot="1" x14ac:dyDescent="0.25">
      <c r="A183" s="98" t="s">
        <v>243</v>
      </c>
      <c r="B183" s="99" t="s">
        <v>117</v>
      </c>
      <c r="C183" s="260"/>
      <c r="D183" s="261">
        <f>IFERROR(D174+D176+D178+D180+D182,0)</f>
        <v>2.0832719428571429</v>
      </c>
      <c r="E183" s="18"/>
      <c r="G183" s="107"/>
      <c r="H183" s="52"/>
      <c r="I183" s="81"/>
      <c r="J183" s="81"/>
    </row>
    <row r="184" spans="1:10" ht="13.5" thickBot="1" x14ac:dyDescent="0.25">
      <c r="F184" s="21">
        <f>SUM(E173:E182)</f>
        <v>3783.2218482285707</v>
      </c>
      <c r="I184" s="81"/>
      <c r="J184" s="81"/>
    </row>
    <row r="185" spans="1:10" ht="11.25" customHeight="1" x14ac:dyDescent="0.2">
      <c r="I185" s="81"/>
      <c r="J185" s="81"/>
    </row>
    <row r="186" spans="1:10" ht="13.5" thickBot="1" x14ac:dyDescent="0.25">
      <c r="A186" s="9" t="s">
        <v>48</v>
      </c>
      <c r="I186" s="81"/>
      <c r="J186" s="81"/>
    </row>
    <row r="187" spans="1:10" ht="13.5" thickBot="1" x14ac:dyDescent="0.25">
      <c r="A187" s="59" t="s">
        <v>58</v>
      </c>
      <c r="B187" s="60" t="s">
        <v>59</v>
      </c>
      <c r="C187" s="60" t="s">
        <v>35</v>
      </c>
      <c r="D187" s="61" t="s">
        <v>226</v>
      </c>
      <c r="E187" s="61" t="s">
        <v>60</v>
      </c>
      <c r="F187" s="62" t="s">
        <v>61</v>
      </c>
      <c r="I187" s="81"/>
      <c r="J187" s="81"/>
    </row>
    <row r="188" spans="1:10" ht="13.5" thickBot="1" x14ac:dyDescent="0.25">
      <c r="A188" s="13" t="s">
        <v>115</v>
      </c>
      <c r="B188" s="14" t="s">
        <v>117</v>
      </c>
      <c r="C188" s="89">
        <f>C174</f>
        <v>1816</v>
      </c>
      <c r="D188" s="83">
        <v>0.74</v>
      </c>
      <c r="E188" s="15">
        <f>C188*D188</f>
        <v>1343.84</v>
      </c>
      <c r="I188" s="81"/>
      <c r="J188" s="81"/>
    </row>
    <row r="189" spans="1:10" ht="13.5" thickBot="1" x14ac:dyDescent="0.25">
      <c r="F189" s="21">
        <f>E188</f>
        <v>1343.84</v>
      </c>
      <c r="I189" s="81"/>
      <c r="J189" s="81"/>
    </row>
    <row r="190" spans="1:10" ht="11.25" customHeight="1" x14ac:dyDescent="0.2">
      <c r="I190" s="81"/>
      <c r="J190" s="81"/>
    </row>
    <row r="191" spans="1:10" ht="13.5" thickBot="1" x14ac:dyDescent="0.25">
      <c r="A191" s="9" t="s">
        <v>56</v>
      </c>
      <c r="I191" s="81"/>
      <c r="J191" s="81"/>
    </row>
    <row r="192" spans="1:10" ht="13.5" thickBot="1" x14ac:dyDescent="0.25">
      <c r="A192" s="59" t="s">
        <v>58</v>
      </c>
      <c r="B192" s="60" t="s">
        <v>59</v>
      </c>
      <c r="C192" s="60" t="s">
        <v>35</v>
      </c>
      <c r="D192" s="61" t="s">
        <v>226</v>
      </c>
      <c r="E192" s="61" t="s">
        <v>60</v>
      </c>
      <c r="F192" s="62" t="s">
        <v>61</v>
      </c>
      <c r="I192" s="81"/>
      <c r="J192" s="81"/>
    </row>
    <row r="193" spans="1:10" x14ac:dyDescent="0.2">
      <c r="A193" s="293" t="s">
        <v>289</v>
      </c>
      <c r="B193" s="14" t="s">
        <v>8</v>
      </c>
      <c r="C193" s="91">
        <v>6</v>
      </c>
      <c r="D193" s="83">
        <v>2053.23</v>
      </c>
      <c r="E193" s="15">
        <f>C193*D193</f>
        <v>12319.380000000001</v>
      </c>
      <c r="I193" s="81"/>
      <c r="J193" s="81"/>
    </row>
    <row r="194" spans="1:10" x14ac:dyDescent="0.2">
      <c r="A194" s="13" t="s">
        <v>118</v>
      </c>
      <c r="B194" s="14" t="s">
        <v>8</v>
      </c>
      <c r="C194" s="91">
        <v>0</v>
      </c>
      <c r="D194" s="101"/>
      <c r="E194" s="15"/>
      <c r="I194" s="81"/>
      <c r="J194" s="81"/>
    </row>
    <row r="195" spans="1:10" x14ac:dyDescent="0.2">
      <c r="A195" s="13" t="s">
        <v>65</v>
      </c>
      <c r="B195" s="14" t="s">
        <v>8</v>
      </c>
      <c r="C195" s="15">
        <f>C193*C194</f>
        <v>0</v>
      </c>
      <c r="D195" s="83">
        <v>0</v>
      </c>
      <c r="E195" s="15">
        <f>C195*D195</f>
        <v>0</v>
      </c>
      <c r="I195" s="81"/>
      <c r="J195" s="81"/>
    </row>
    <row r="196" spans="1:10" x14ac:dyDescent="0.2">
      <c r="A196" s="299" t="s">
        <v>287</v>
      </c>
      <c r="B196" s="17" t="s">
        <v>24</v>
      </c>
      <c r="C196" s="94">
        <v>30</v>
      </c>
      <c r="D196" s="18">
        <f>E193+E195</f>
        <v>12319.380000000001</v>
      </c>
      <c r="E196" s="18">
        <f>IFERROR(D196/C196,"-")</f>
        <v>410.64600000000002</v>
      </c>
      <c r="I196" s="81"/>
      <c r="J196" s="81"/>
    </row>
    <row r="197" spans="1:10" ht="13.5" thickBot="1" x14ac:dyDescent="0.25">
      <c r="A197" s="16" t="s">
        <v>50</v>
      </c>
      <c r="B197" s="17" t="s">
        <v>16</v>
      </c>
      <c r="C197" s="89">
        <f>B170</f>
        <v>1816</v>
      </c>
      <c r="D197" s="18">
        <v>0.56000000000000005</v>
      </c>
      <c r="E197" s="18">
        <f>IFERROR(C197*D197,0)</f>
        <v>1016.9600000000002</v>
      </c>
      <c r="I197" s="81"/>
      <c r="J197" s="81"/>
    </row>
    <row r="198" spans="1:10" ht="13.5" thickBot="1" x14ac:dyDescent="0.25">
      <c r="F198" s="21">
        <f>E197</f>
        <v>1016.9600000000002</v>
      </c>
      <c r="I198" s="81"/>
      <c r="J198" s="81"/>
    </row>
    <row r="199" spans="1:10" ht="11.25" customHeight="1" x14ac:dyDescent="0.2">
      <c r="I199" s="81"/>
      <c r="J199" s="81"/>
    </row>
    <row r="200" spans="1:10" ht="11.25" customHeight="1" thickBot="1" x14ac:dyDescent="0.25">
      <c r="G200" s="9"/>
    </row>
    <row r="201" spans="1:10" ht="13.5" thickBot="1" x14ac:dyDescent="0.25">
      <c r="A201" s="24" t="s">
        <v>214</v>
      </c>
      <c r="B201" s="25"/>
      <c r="C201" s="25"/>
      <c r="D201" s="26"/>
      <c r="E201" s="27"/>
      <c r="F201" s="21">
        <f>+SUM(F130:F200)</f>
        <v>10722.321330478571</v>
      </c>
      <c r="G201" s="9"/>
    </row>
    <row r="202" spans="1:10" ht="11.25" customHeight="1" x14ac:dyDescent="0.2">
      <c r="G202" s="9"/>
    </row>
    <row r="203" spans="1:10" x14ac:dyDescent="0.2">
      <c r="A203" s="34" t="s">
        <v>69</v>
      </c>
      <c r="B203" s="34"/>
      <c r="C203" s="34"/>
      <c r="D203" s="35"/>
      <c r="E203" s="35"/>
      <c r="F203" s="33"/>
      <c r="G203" s="9"/>
    </row>
    <row r="204" spans="1:10" ht="11.25" customHeight="1" thickBot="1" x14ac:dyDescent="0.25">
      <c r="G204" s="9"/>
    </row>
    <row r="205" spans="1:10" ht="13.5" thickBot="1" x14ac:dyDescent="0.25">
      <c r="A205" s="59" t="s">
        <v>58</v>
      </c>
      <c r="B205" s="60" t="s">
        <v>59</v>
      </c>
      <c r="C205" s="60" t="s">
        <v>35</v>
      </c>
      <c r="D205" s="61" t="s">
        <v>226</v>
      </c>
      <c r="E205" s="61" t="s">
        <v>60</v>
      </c>
      <c r="F205" s="62" t="s">
        <v>61</v>
      </c>
      <c r="G205" s="9"/>
    </row>
    <row r="206" spans="1:10" x14ac:dyDescent="0.2">
      <c r="A206" s="16" t="s">
        <v>66</v>
      </c>
      <c r="B206" s="17" t="s">
        <v>8</v>
      </c>
      <c r="C206" s="96">
        <v>0.16666666666666666</v>
      </c>
      <c r="D206" s="83">
        <v>48.66</v>
      </c>
      <c r="E206" s="18">
        <f>C206*D206</f>
        <v>8.11</v>
      </c>
      <c r="F206" s="54"/>
      <c r="G206" s="9"/>
    </row>
    <row r="207" spans="1:10" x14ac:dyDescent="0.2">
      <c r="A207" s="16" t="s">
        <v>25</v>
      </c>
      <c r="B207" s="17" t="s">
        <v>8</v>
      </c>
      <c r="C207" s="96">
        <v>0.16666666666666666</v>
      </c>
      <c r="D207" s="83">
        <v>46.1</v>
      </c>
      <c r="E207" s="18">
        <f>C207*D207</f>
        <v>7.6833333333333336</v>
      </c>
      <c r="F207" s="54"/>
      <c r="G207" s="9"/>
    </row>
    <row r="208" spans="1:10" x14ac:dyDescent="0.2">
      <c r="A208" s="16" t="s">
        <v>26</v>
      </c>
      <c r="B208" s="17" t="s">
        <v>8</v>
      </c>
      <c r="C208" s="96">
        <v>0.16666666666666666</v>
      </c>
      <c r="D208" s="83">
        <v>12.39</v>
      </c>
      <c r="E208" s="18">
        <f>C208*D208</f>
        <v>2.0649999999999999</v>
      </c>
      <c r="F208" s="54"/>
      <c r="G208" s="9"/>
    </row>
    <row r="209" spans="1:7" x14ac:dyDescent="0.2">
      <c r="A209" s="16" t="s">
        <v>52</v>
      </c>
      <c r="B209" s="17" t="s">
        <v>53</v>
      </c>
      <c r="C209" s="96">
        <v>0.16666666666666666</v>
      </c>
      <c r="D209" s="83">
        <v>100</v>
      </c>
      <c r="E209" s="18">
        <f>C209*D209</f>
        <v>16.666666666666664</v>
      </c>
      <c r="F209" s="54"/>
      <c r="G209" s="9"/>
    </row>
    <row r="210" spans="1:7" ht="13.5" thickBot="1" x14ac:dyDescent="0.25">
      <c r="A210" s="16" t="s">
        <v>55</v>
      </c>
      <c r="B210" s="17" t="s">
        <v>53</v>
      </c>
      <c r="C210" s="96">
        <v>0.16666666666666666</v>
      </c>
      <c r="D210" s="83">
        <v>100</v>
      </c>
      <c r="E210" s="18">
        <f>C210*D210</f>
        <v>16.666666666666664</v>
      </c>
      <c r="F210" s="54"/>
      <c r="G210" s="9"/>
    </row>
    <row r="211" spans="1:7" ht="13.5" thickBot="1" x14ac:dyDescent="0.25">
      <c r="A211" s="34"/>
      <c r="B211" s="34"/>
      <c r="C211" s="34"/>
      <c r="D211" s="34"/>
      <c r="E211" s="35"/>
      <c r="F211" s="21">
        <f>SUM(E206:E210)</f>
        <v>51.191666666666663</v>
      </c>
      <c r="G211" s="9"/>
    </row>
    <row r="212" spans="1:7" ht="11.25" customHeight="1" thickBot="1" x14ac:dyDescent="0.25">
      <c r="G212" s="9"/>
    </row>
    <row r="213" spans="1:7" ht="13.5" thickBot="1" x14ac:dyDescent="0.25">
      <c r="A213" s="24" t="s">
        <v>215</v>
      </c>
      <c r="B213" s="25"/>
      <c r="C213" s="25"/>
      <c r="D213" s="26"/>
      <c r="E213" s="27"/>
      <c r="F213" s="21">
        <f>+F211</f>
        <v>51.191666666666663</v>
      </c>
      <c r="G213" s="9"/>
    </row>
    <row r="214" spans="1:7" ht="11.25" customHeight="1" x14ac:dyDescent="0.2">
      <c r="G214" s="9"/>
    </row>
    <row r="215" spans="1:7" x14ac:dyDescent="0.2">
      <c r="A215" s="34" t="s">
        <v>70</v>
      </c>
      <c r="B215" s="34"/>
      <c r="C215" s="34"/>
      <c r="D215" s="35"/>
      <c r="E215" s="35"/>
      <c r="F215" s="33"/>
    </row>
    <row r="216" spans="1:7" ht="11.25" customHeight="1" x14ac:dyDescent="0.2"/>
    <row r="217" spans="1:7" s="51" customFormat="1" ht="11.25" customHeight="1" x14ac:dyDescent="0.2">
      <c r="A217" s="9"/>
      <c r="B217" s="9"/>
      <c r="C217" s="9"/>
      <c r="D217" s="10"/>
      <c r="E217" s="10"/>
      <c r="F217" s="10"/>
      <c r="G217" s="80"/>
    </row>
    <row r="218" spans="1:7" ht="11.25" customHeight="1" thickBot="1" x14ac:dyDescent="0.25"/>
    <row r="219" spans="1:7" ht="17.25" customHeight="1" thickBot="1" x14ac:dyDescent="0.25">
      <c r="A219" s="24" t="s">
        <v>216</v>
      </c>
      <c r="B219" s="28"/>
      <c r="C219" s="28"/>
      <c r="D219" s="29"/>
      <c r="E219" s="30"/>
      <c r="F219" s="22">
        <f>+F88+F122+F201+F213</f>
        <v>18738.534732822529</v>
      </c>
    </row>
    <row r="220" spans="1:7" ht="11.25" customHeight="1" x14ac:dyDescent="0.2"/>
    <row r="221" spans="1:7" x14ac:dyDescent="0.2">
      <c r="A221" s="11" t="s">
        <v>85</v>
      </c>
    </row>
    <row r="222" spans="1:7" ht="11.25" customHeight="1" thickBot="1" x14ac:dyDescent="0.25"/>
    <row r="223" spans="1:7" ht="13.5" thickBot="1" x14ac:dyDescent="0.25">
      <c r="A223" s="59" t="s">
        <v>58</v>
      </c>
      <c r="B223" s="60" t="s">
        <v>59</v>
      </c>
      <c r="C223" s="60" t="s">
        <v>35</v>
      </c>
      <c r="D223" s="61" t="s">
        <v>226</v>
      </c>
      <c r="E223" s="61" t="s">
        <v>60</v>
      </c>
      <c r="F223" s="62" t="s">
        <v>61</v>
      </c>
    </row>
    <row r="224" spans="1:7" ht="13.5" thickBot="1" x14ac:dyDescent="0.25">
      <c r="A224" s="13" t="s">
        <v>32</v>
      </c>
      <c r="B224" s="14" t="s">
        <v>1</v>
      </c>
      <c r="C224" s="135">
        <f>'4.BDI'!C17*100</f>
        <v>19.950000000000003</v>
      </c>
      <c r="D224" s="15">
        <f>+F219</f>
        <v>18738.534732822529</v>
      </c>
      <c r="E224" s="15">
        <f>C224*D224/100</f>
        <v>3738.337679198095</v>
      </c>
    </row>
    <row r="225" spans="1:7" ht="13.5" thickBot="1" x14ac:dyDescent="0.25">
      <c r="F225" s="21">
        <f>+E224</f>
        <v>3738.337679198095</v>
      </c>
    </row>
    <row r="226" spans="1:7" ht="11.25" customHeight="1" thickBot="1" x14ac:dyDescent="0.25"/>
    <row r="227" spans="1:7" ht="13.5" thickBot="1" x14ac:dyDescent="0.25">
      <c r="A227" s="24" t="s">
        <v>231</v>
      </c>
      <c r="B227" s="28"/>
      <c r="C227" s="28"/>
      <c r="D227" s="29"/>
      <c r="E227" s="30"/>
      <c r="F227" s="22">
        <f>F225</f>
        <v>3738.337679198095</v>
      </c>
    </row>
    <row r="228" spans="1:7" x14ac:dyDescent="0.2">
      <c r="A228" s="34"/>
      <c r="B228" s="34"/>
      <c r="C228" s="34"/>
      <c r="D228" s="35"/>
      <c r="E228" s="35"/>
      <c r="F228" s="33"/>
    </row>
    <row r="229" spans="1:7" ht="11.25" customHeight="1" thickBot="1" x14ac:dyDescent="0.25"/>
    <row r="230" spans="1:7" ht="24.75" customHeight="1" thickBot="1" x14ac:dyDescent="0.25">
      <c r="A230" s="24" t="s">
        <v>217</v>
      </c>
      <c r="B230" s="28"/>
      <c r="C230" s="28"/>
      <c r="D230" s="29"/>
      <c r="E230" s="30"/>
      <c r="F230" s="22">
        <f>F219+F227</f>
        <v>22476.872412020624</v>
      </c>
    </row>
    <row r="231" spans="1:7" ht="12.6" customHeight="1" x14ac:dyDescent="0.2">
      <c r="A231" s="55"/>
      <c r="B231" s="55"/>
      <c r="C231" s="55"/>
      <c r="D231" s="56"/>
      <c r="E231" s="56"/>
      <c r="F231" s="56"/>
    </row>
    <row r="232" spans="1:7" ht="14.25" x14ac:dyDescent="0.2">
      <c r="A232" s="8"/>
      <c r="B232" s="8"/>
      <c r="C232" s="8"/>
      <c r="D232" s="36"/>
      <c r="E232" s="36"/>
    </row>
    <row r="233" spans="1:7" ht="12.6" customHeight="1" x14ac:dyDescent="0.2">
      <c r="A233" s="335" t="s">
        <v>290</v>
      </c>
      <c r="B233" s="336"/>
      <c r="C233" s="336"/>
      <c r="D233" s="337">
        <v>35</v>
      </c>
      <c r="E233" s="338" t="s">
        <v>291</v>
      </c>
      <c r="F233" s="341"/>
    </row>
    <row r="234" spans="1:7" s="4" customFormat="1" ht="9.75" customHeight="1" thickBot="1" x14ac:dyDescent="0.25">
      <c r="A234" s="39"/>
      <c r="B234" s="10"/>
      <c r="C234" s="10"/>
      <c r="D234" s="10"/>
      <c r="E234" s="10"/>
      <c r="F234" s="10"/>
      <c r="G234" s="6"/>
    </row>
    <row r="235" spans="1:7" s="4" customFormat="1" ht="9.75" customHeight="1" thickBot="1" x14ac:dyDescent="0.25">
      <c r="A235" s="24" t="s">
        <v>292</v>
      </c>
      <c r="B235" s="25"/>
      <c r="C235" s="25"/>
      <c r="D235" s="26"/>
      <c r="E235" s="339" t="s">
        <v>293</v>
      </c>
      <c r="F235" s="340">
        <f>IFERROR(F230/D233,"-")</f>
        <v>642.19635462916074</v>
      </c>
      <c r="G235" s="6"/>
    </row>
    <row r="236" spans="1:7" s="4" customFormat="1" ht="9.75" customHeight="1" x14ac:dyDescent="0.2">
      <c r="A236" s="39"/>
      <c r="B236" s="10"/>
      <c r="C236" s="10"/>
      <c r="D236" s="10"/>
      <c r="E236" s="10"/>
      <c r="F236" s="10"/>
      <c r="G236" s="6"/>
    </row>
    <row r="266" s="9" customFormat="1" ht="9" customHeight="1" x14ac:dyDescent="0.2"/>
  </sheetData>
  <mergeCells count="7">
    <mergeCell ref="A36:D36"/>
    <mergeCell ref="A14:C14"/>
    <mergeCell ref="A1:F1"/>
    <mergeCell ref="A2:F2"/>
    <mergeCell ref="A29:D29"/>
    <mergeCell ref="A4:F4"/>
    <mergeCell ref="A28:E28"/>
  </mergeCells>
  <phoneticPr fontId="9" type="noConversion"/>
  <hyperlinks>
    <hyperlink ref="A144" location="AbaRemun" display="3.1.2. Remuneração do Capital" xr:uid="{00000000-0004-0000-0000-000000000000}"/>
    <hyperlink ref="A128" location="AbaDeprec" display="3.1.1. Depreciação" xr:uid="{00000000-0004-0000-0000-000001000000}"/>
  </hyperlinks>
  <pageMargins left="0.9055118110236221" right="0.51181102362204722" top="0.74803149606299213" bottom="0.74803149606299213" header="0.31496062992125984" footer="0.31496062992125984"/>
  <pageSetup paperSize="9" scale="76" fitToHeight="0" orientation="portrait" r:id="rId1"/>
  <headerFooter alignWithMargins="0">
    <oddFooter>&amp;R&amp;P de &amp;N</oddFooter>
  </headerFooter>
  <rowBreaks count="4" manualBreakCount="4">
    <brk id="41" max="5" man="1"/>
    <brk id="67" max="5" man="1"/>
    <brk id="123" max="5" man="1"/>
    <brk id="190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5"/>
  <sheetViews>
    <sheetView zoomScaleNormal="100" workbookViewId="0">
      <selection activeCell="D11" sqref="D11"/>
    </sheetView>
  </sheetViews>
  <sheetFormatPr defaultRowHeight="12.75" x14ac:dyDescent="0.2"/>
  <cols>
    <col min="1" max="1" width="13.5703125" style="1" customWidth="1"/>
    <col min="2" max="2" width="39.5703125" style="1" bestFit="1" customWidth="1"/>
    <col min="3" max="3" width="14.5703125" style="1" customWidth="1"/>
    <col min="4" max="4" width="37.28515625" style="151" customWidth="1"/>
    <col min="5" max="10" width="9.140625" style="1"/>
    <col min="11" max="11" width="11" style="1" bestFit="1" customWidth="1"/>
    <col min="12" max="16384" width="9.140625" style="1"/>
  </cols>
  <sheetData>
    <row r="1" spans="1:12" x14ac:dyDescent="0.2">
      <c r="A1" s="11" t="s">
        <v>200</v>
      </c>
    </row>
    <row r="2" spans="1:12" x14ac:dyDescent="0.2">
      <c r="A2" s="134" t="s">
        <v>237</v>
      </c>
    </row>
    <row r="3" spans="1:12" s="4" customFormat="1" ht="15.6" customHeight="1" thickBot="1" x14ac:dyDescent="0.25">
      <c r="B3" s="133"/>
      <c r="C3" s="133"/>
      <c r="D3" s="133"/>
      <c r="E3" s="133"/>
      <c r="F3" s="133"/>
      <c r="G3" s="6"/>
    </row>
    <row r="4" spans="1:12" ht="18" x14ac:dyDescent="0.2">
      <c r="A4" s="317" t="s">
        <v>220</v>
      </c>
      <c r="B4" s="318"/>
      <c r="C4" s="319"/>
      <c r="D4" s="144"/>
      <c r="E4" s="144"/>
      <c r="F4" s="144"/>
    </row>
    <row r="5" spans="1:12" ht="14.25" x14ac:dyDescent="0.2">
      <c r="A5" s="162" t="s">
        <v>138</v>
      </c>
      <c r="B5" s="163" t="s">
        <v>139</v>
      </c>
      <c r="C5" s="164" t="s">
        <v>140</v>
      </c>
      <c r="D5" s="165"/>
    </row>
    <row r="6" spans="1:12" ht="14.25" x14ac:dyDescent="0.2">
      <c r="A6" s="162" t="s">
        <v>141</v>
      </c>
      <c r="B6" s="163" t="s">
        <v>36</v>
      </c>
      <c r="C6" s="166">
        <v>0.2</v>
      </c>
      <c r="D6" s="165"/>
      <c r="F6" s="151"/>
      <c r="G6" s="151"/>
      <c r="H6" s="151"/>
      <c r="I6" s="151"/>
      <c r="J6" s="151"/>
      <c r="K6" s="151"/>
      <c r="L6" s="151"/>
    </row>
    <row r="7" spans="1:12" ht="14.25" x14ac:dyDescent="0.2">
      <c r="A7" s="162" t="s">
        <v>142</v>
      </c>
      <c r="B7" s="163" t="s">
        <v>143</v>
      </c>
      <c r="C7" s="166">
        <v>1.4999999999999999E-2</v>
      </c>
      <c r="D7" s="165"/>
      <c r="F7" s="151"/>
      <c r="G7" s="151"/>
      <c r="H7" s="151"/>
      <c r="I7" s="151"/>
      <c r="J7" s="151"/>
      <c r="K7" s="151"/>
      <c r="L7" s="151"/>
    </row>
    <row r="8" spans="1:12" ht="14.25" x14ac:dyDescent="0.2">
      <c r="A8" s="162" t="s">
        <v>144</v>
      </c>
      <c r="B8" s="163" t="s">
        <v>145</v>
      </c>
      <c r="C8" s="166">
        <v>0.01</v>
      </c>
      <c r="D8" s="165"/>
      <c r="F8" s="151"/>
      <c r="G8" s="151"/>
      <c r="H8" s="151"/>
      <c r="I8" s="151"/>
      <c r="J8" s="151"/>
      <c r="K8" s="151"/>
      <c r="L8" s="151"/>
    </row>
    <row r="9" spans="1:12" ht="14.25" x14ac:dyDescent="0.2">
      <c r="A9" s="162" t="s">
        <v>146</v>
      </c>
      <c r="B9" s="163" t="s">
        <v>147</v>
      </c>
      <c r="C9" s="166">
        <v>2E-3</v>
      </c>
      <c r="D9" s="165"/>
      <c r="F9" s="151"/>
      <c r="G9" s="151"/>
      <c r="H9" s="151"/>
      <c r="I9" s="151"/>
      <c r="J9" s="151"/>
      <c r="K9" s="151"/>
      <c r="L9" s="151"/>
    </row>
    <row r="10" spans="1:12" ht="14.25" x14ac:dyDescent="0.2">
      <c r="A10" s="162" t="s">
        <v>148</v>
      </c>
      <c r="B10" s="163" t="s">
        <v>149</v>
      </c>
      <c r="C10" s="166">
        <v>6.0000000000000001E-3</v>
      </c>
      <c r="D10" s="165"/>
      <c r="F10" s="151"/>
      <c r="G10" s="151"/>
      <c r="H10" s="151"/>
      <c r="I10" s="151"/>
      <c r="J10" s="151"/>
      <c r="K10" s="151"/>
      <c r="L10" s="151"/>
    </row>
    <row r="11" spans="1:12" ht="14.25" x14ac:dyDescent="0.2">
      <c r="A11" s="162" t="s">
        <v>150</v>
      </c>
      <c r="B11" s="163" t="s">
        <v>151</v>
      </c>
      <c r="C11" s="166">
        <v>2.5000000000000001E-2</v>
      </c>
      <c r="D11" s="165"/>
      <c r="F11" s="151"/>
      <c r="G11" s="151"/>
      <c r="H11" s="151"/>
      <c r="I11" s="151"/>
      <c r="J11" s="151"/>
      <c r="K11" s="151"/>
      <c r="L11" s="151"/>
    </row>
    <row r="12" spans="1:12" ht="14.25" x14ac:dyDescent="0.2">
      <c r="A12" s="162" t="s">
        <v>152</v>
      </c>
      <c r="B12" s="163" t="s">
        <v>153</v>
      </c>
      <c r="C12" s="166">
        <v>0.03</v>
      </c>
      <c r="D12" s="165"/>
      <c r="F12" s="151"/>
      <c r="G12" s="151"/>
      <c r="H12" s="151"/>
      <c r="I12" s="151"/>
      <c r="J12" s="151"/>
      <c r="K12" s="151"/>
      <c r="L12" s="151"/>
    </row>
    <row r="13" spans="1:12" ht="14.25" x14ac:dyDescent="0.2">
      <c r="A13" s="162" t="s">
        <v>154</v>
      </c>
      <c r="B13" s="163" t="s">
        <v>37</v>
      </c>
      <c r="C13" s="166">
        <v>0.08</v>
      </c>
      <c r="D13" s="167"/>
      <c r="F13" s="151"/>
      <c r="G13" s="151"/>
      <c r="H13" s="151"/>
      <c r="I13" s="151"/>
      <c r="J13" s="151"/>
      <c r="K13" s="151"/>
      <c r="L13" s="151"/>
    </row>
    <row r="14" spans="1:12" ht="15" x14ac:dyDescent="0.2">
      <c r="A14" s="162" t="s">
        <v>155</v>
      </c>
      <c r="B14" s="168" t="s">
        <v>156</v>
      </c>
      <c r="C14" s="169">
        <f>SUM(C6:C13)</f>
        <v>0.36800000000000005</v>
      </c>
      <c r="D14" s="167"/>
      <c r="F14" s="151"/>
      <c r="G14" s="151"/>
      <c r="H14" s="151"/>
      <c r="I14" s="151"/>
      <c r="J14" s="151"/>
      <c r="K14" s="151"/>
      <c r="L14" s="151"/>
    </row>
    <row r="15" spans="1:12" ht="15" x14ac:dyDescent="0.2">
      <c r="A15" s="170"/>
      <c r="B15" s="171"/>
      <c r="C15" s="172"/>
      <c r="D15" s="167"/>
      <c r="F15" s="151"/>
      <c r="G15" s="151"/>
      <c r="H15" s="151"/>
      <c r="I15" s="151"/>
      <c r="J15" s="151"/>
      <c r="K15" s="151"/>
      <c r="L15" s="151"/>
    </row>
    <row r="16" spans="1:12" ht="14.25" x14ac:dyDescent="0.2">
      <c r="A16" s="162" t="s">
        <v>157</v>
      </c>
      <c r="B16" s="173" t="s">
        <v>158</v>
      </c>
      <c r="C16" s="166">
        <f>ROUND(IF('3.CAGED'!C24&gt;24,(1-12/'3.CAGED'!C24)*0.1111,0.1111-C25),4)</f>
        <v>6.1899999999999997E-2</v>
      </c>
      <c r="D16" s="167"/>
      <c r="F16" s="151"/>
      <c r="G16" s="151"/>
      <c r="H16" s="151"/>
      <c r="I16" s="151"/>
      <c r="J16" s="151"/>
      <c r="K16" s="151"/>
      <c r="L16" s="151"/>
    </row>
    <row r="17" spans="1:12" ht="14.25" x14ac:dyDescent="0.2">
      <c r="A17" s="162" t="s">
        <v>159</v>
      </c>
      <c r="B17" s="173" t="s">
        <v>160</v>
      </c>
      <c r="C17" s="166">
        <f>ROUND('3.CAGED'!C28/'3.CAGED'!C25,4)</f>
        <v>8.3299999999999999E-2</v>
      </c>
      <c r="D17" s="167"/>
      <c r="F17" s="151"/>
      <c r="G17" s="151"/>
      <c r="H17" s="151"/>
      <c r="I17" s="151"/>
      <c r="J17" s="151"/>
      <c r="K17" s="151"/>
      <c r="L17" s="151"/>
    </row>
    <row r="18" spans="1:12" ht="14.25" x14ac:dyDescent="0.2">
      <c r="A18" s="162" t="s">
        <v>212</v>
      </c>
      <c r="B18" s="173" t="s">
        <v>162</v>
      </c>
      <c r="C18" s="166">
        <v>5.9999999999999995E-4</v>
      </c>
      <c r="D18" s="167"/>
      <c r="F18" s="151"/>
      <c r="G18" s="151"/>
      <c r="H18" s="151"/>
      <c r="I18" s="151"/>
      <c r="J18" s="151"/>
      <c r="K18" s="151"/>
      <c r="L18" s="151"/>
    </row>
    <row r="19" spans="1:12" ht="14.25" x14ac:dyDescent="0.2">
      <c r="A19" s="162" t="s">
        <v>161</v>
      </c>
      <c r="B19" s="173" t="s">
        <v>164</v>
      </c>
      <c r="C19" s="166">
        <v>8.2000000000000007E-3</v>
      </c>
      <c r="D19" s="167"/>
      <c r="F19" s="151"/>
      <c r="G19" s="151"/>
      <c r="H19" s="151"/>
      <c r="I19" s="151"/>
      <c r="J19" s="151"/>
      <c r="K19" s="151"/>
      <c r="L19" s="151"/>
    </row>
    <row r="20" spans="1:12" ht="14.25" x14ac:dyDescent="0.2">
      <c r="A20" s="162" t="s">
        <v>163</v>
      </c>
      <c r="B20" s="173" t="s">
        <v>166</v>
      </c>
      <c r="C20" s="166">
        <v>3.0999999999999999E-3</v>
      </c>
      <c r="D20" s="167"/>
      <c r="F20" s="151"/>
      <c r="G20" s="151"/>
      <c r="H20" s="151"/>
      <c r="I20" s="151"/>
      <c r="J20" s="151"/>
      <c r="K20" s="151"/>
      <c r="L20" s="151"/>
    </row>
    <row r="21" spans="1:12" ht="14.25" x14ac:dyDescent="0.2">
      <c r="A21" s="162" t="s">
        <v>165</v>
      </c>
      <c r="B21" s="173" t="s">
        <v>167</v>
      </c>
      <c r="C21" s="166">
        <v>1.66E-2</v>
      </c>
      <c r="D21" s="167"/>
      <c r="F21" s="151"/>
      <c r="G21" s="151"/>
      <c r="H21" s="151"/>
      <c r="I21" s="151"/>
      <c r="J21" s="151"/>
      <c r="K21" s="151"/>
      <c r="L21" s="151"/>
    </row>
    <row r="22" spans="1:12" ht="15" x14ac:dyDescent="0.2">
      <c r="A22" s="162" t="s">
        <v>168</v>
      </c>
      <c r="B22" s="168" t="s">
        <v>169</v>
      </c>
      <c r="C22" s="169">
        <f>SUM(C16:C21)</f>
        <v>0.17369999999999999</v>
      </c>
      <c r="D22" s="174"/>
      <c r="F22" s="151"/>
      <c r="G22" s="151"/>
      <c r="H22" s="151"/>
      <c r="I22" s="151"/>
      <c r="J22" s="151"/>
      <c r="K22" s="151"/>
      <c r="L22" s="151"/>
    </row>
    <row r="23" spans="1:12" ht="15" x14ac:dyDescent="0.2">
      <c r="A23" s="170"/>
      <c r="B23" s="171"/>
      <c r="C23" s="172"/>
      <c r="D23" s="174"/>
      <c r="F23" s="151"/>
      <c r="G23" s="151"/>
      <c r="H23" s="151"/>
      <c r="I23" s="151"/>
      <c r="J23" s="151"/>
      <c r="K23" s="151"/>
      <c r="L23" s="151"/>
    </row>
    <row r="24" spans="1:12" ht="14.25" x14ac:dyDescent="0.2">
      <c r="A24" s="162" t="s">
        <v>170</v>
      </c>
      <c r="B24" s="163" t="s">
        <v>171</v>
      </c>
      <c r="C24" s="166">
        <f>ROUND(('3.CAGED'!C29) *'3.CAGED'!C22/'3.CAGED'!C25,4)</f>
        <v>2.5600000000000001E-2</v>
      </c>
      <c r="D24" s="167"/>
      <c r="E24" s="175"/>
      <c r="F24" s="151"/>
      <c r="G24" s="151"/>
      <c r="H24" s="151"/>
      <c r="I24" s="151"/>
      <c r="J24" s="151"/>
      <c r="K24" s="151"/>
      <c r="L24" s="151"/>
    </row>
    <row r="25" spans="1:12" ht="14.25" x14ac:dyDescent="0.2">
      <c r="A25" s="162" t="s">
        <v>211</v>
      </c>
      <c r="B25" s="163" t="s">
        <v>173</v>
      </c>
      <c r="C25" s="166">
        <f>ROUND(IF('3.CAGED'!C24&gt;12,12/'3.CAGED'!C24*0.1111,0.1111),4)</f>
        <v>4.9200000000000001E-2</v>
      </c>
      <c r="D25" s="167"/>
      <c r="F25" s="151"/>
      <c r="G25" s="151"/>
      <c r="H25" s="176"/>
      <c r="I25" s="151"/>
      <c r="J25" s="151"/>
      <c r="K25" s="151"/>
      <c r="L25" s="151"/>
    </row>
    <row r="26" spans="1:12" ht="14.25" x14ac:dyDescent="0.2">
      <c r="A26" s="162" t="s">
        <v>172</v>
      </c>
      <c r="B26" s="163" t="s">
        <v>175</v>
      </c>
      <c r="C26" s="166">
        <f>C24*C25</f>
        <v>1.2595200000000001E-3</v>
      </c>
      <c r="D26" s="167"/>
      <c r="E26" s="175"/>
      <c r="F26" s="151"/>
      <c r="G26" s="151"/>
      <c r="H26" s="151"/>
      <c r="I26" s="151"/>
      <c r="J26" s="151"/>
      <c r="K26" s="151"/>
      <c r="L26" s="151"/>
    </row>
    <row r="27" spans="1:12" ht="14.25" x14ac:dyDescent="0.2">
      <c r="A27" s="162" t="s">
        <v>174</v>
      </c>
      <c r="B27" s="163" t="s">
        <v>177</v>
      </c>
      <c r="C27" s="166">
        <f>ROUND(('3.CAGED'!C25+'3.CAGED'!C26+'3.CAGED'!C28)/'3.CAGED'!C23*'3.CAGED'!C30*'3.CAGED'!C31*'3.CAGED'!C22/'3.CAGED'!C25,4)</f>
        <v>2.0500000000000001E-2</v>
      </c>
      <c r="D27" s="167"/>
      <c r="F27" s="151"/>
      <c r="G27" s="177"/>
      <c r="H27" s="151"/>
      <c r="I27" s="151"/>
      <c r="J27" s="151"/>
      <c r="K27" s="151"/>
      <c r="L27" s="151"/>
    </row>
    <row r="28" spans="1:12" ht="14.25" x14ac:dyDescent="0.2">
      <c r="A28" s="162" t="s">
        <v>176</v>
      </c>
      <c r="B28" s="163" t="s">
        <v>178</v>
      </c>
      <c r="C28" s="166">
        <f>ROUND(('3.CAGED'!C27/'3.CAGED'!C25)*'3.CAGED'!C22/12,4)</f>
        <v>1.8E-3</v>
      </c>
      <c r="D28" s="167"/>
      <c r="F28" s="151"/>
      <c r="G28" s="151"/>
      <c r="H28" s="151"/>
      <c r="I28" s="151"/>
      <c r="J28" s="151"/>
      <c r="K28" s="151"/>
      <c r="L28" s="151"/>
    </row>
    <row r="29" spans="1:12" ht="15" x14ac:dyDescent="0.2">
      <c r="A29" s="162" t="s">
        <v>179</v>
      </c>
      <c r="B29" s="168" t="s">
        <v>180</v>
      </c>
      <c r="C29" s="169">
        <f>SUM(C24:C28)</f>
        <v>9.8359520000000006E-2</v>
      </c>
      <c r="D29" s="174"/>
      <c r="F29" s="151"/>
      <c r="G29" s="151"/>
      <c r="H29" s="151"/>
      <c r="I29" s="151"/>
      <c r="J29" s="151"/>
      <c r="K29" s="151"/>
      <c r="L29" s="151"/>
    </row>
    <row r="30" spans="1:12" ht="15" x14ac:dyDescent="0.2">
      <c r="A30" s="170"/>
      <c r="B30" s="171"/>
      <c r="C30" s="172"/>
      <c r="D30" s="174"/>
      <c r="F30" s="151"/>
      <c r="G30" s="151"/>
      <c r="H30" s="151"/>
      <c r="I30" s="151"/>
      <c r="J30" s="151"/>
      <c r="K30" s="151"/>
      <c r="L30" s="151"/>
    </row>
    <row r="31" spans="1:12" ht="14.25" x14ac:dyDescent="0.2">
      <c r="A31" s="162" t="s">
        <v>181</v>
      </c>
      <c r="B31" s="163" t="s">
        <v>182</v>
      </c>
      <c r="C31" s="166">
        <f>ROUND(C14*C22,4)</f>
        <v>6.3899999999999998E-2</v>
      </c>
      <c r="D31" s="167"/>
      <c r="F31" s="151"/>
      <c r="G31" s="151"/>
      <c r="H31" s="151"/>
      <c r="I31" s="151"/>
      <c r="J31" s="151"/>
      <c r="K31" s="151"/>
      <c r="L31" s="151"/>
    </row>
    <row r="32" spans="1:12" ht="28.5" x14ac:dyDescent="0.2">
      <c r="A32" s="162" t="s">
        <v>183</v>
      </c>
      <c r="B32" s="178" t="s">
        <v>274</v>
      </c>
      <c r="C32" s="166">
        <f>ROUND((C24*C13),4)</f>
        <v>2E-3</v>
      </c>
      <c r="D32" s="167"/>
      <c r="F32" s="151"/>
      <c r="G32" s="151"/>
      <c r="H32" s="151"/>
      <c r="I32" s="151"/>
      <c r="J32" s="151"/>
      <c r="K32" s="151"/>
      <c r="L32" s="151"/>
    </row>
    <row r="33" spans="1:12" ht="15" x14ac:dyDescent="0.2">
      <c r="A33" s="162" t="s">
        <v>184</v>
      </c>
      <c r="B33" s="168" t="s">
        <v>185</v>
      </c>
      <c r="C33" s="169">
        <f>SUM(C31:C32)</f>
        <v>6.59E-2</v>
      </c>
      <c r="D33" s="179"/>
      <c r="F33" s="151"/>
      <c r="G33" s="151"/>
      <c r="H33" s="151"/>
      <c r="I33" s="151"/>
      <c r="J33" s="151"/>
      <c r="K33" s="151"/>
      <c r="L33" s="151"/>
    </row>
    <row r="34" spans="1:12" ht="15.75" thickBot="1" x14ac:dyDescent="0.25">
      <c r="A34" s="180"/>
      <c r="B34" s="181" t="s">
        <v>186</v>
      </c>
      <c r="C34" s="182">
        <f>C33+C29+C22+C14</f>
        <v>0.70595951999999995</v>
      </c>
      <c r="D34" s="179"/>
      <c r="F34" s="151"/>
      <c r="G34" s="151"/>
      <c r="H34" s="151"/>
      <c r="I34" s="151"/>
      <c r="J34" s="151"/>
      <c r="K34" s="151"/>
      <c r="L34" s="151"/>
    </row>
    <row r="35" spans="1:12" ht="15" x14ac:dyDescent="0.2">
      <c r="A35" s="167"/>
      <c r="B35" s="183"/>
      <c r="C35" s="184"/>
      <c r="D35" s="185"/>
      <c r="F35" s="151"/>
      <c r="G35" s="151"/>
      <c r="H35" s="151"/>
      <c r="I35" s="151"/>
      <c r="J35" s="151"/>
      <c r="K35" s="151"/>
      <c r="L35" s="151"/>
    </row>
    <row r="36" spans="1:12" ht="14.25" x14ac:dyDescent="0.2">
      <c r="A36" s="167"/>
      <c r="B36" s="167"/>
      <c r="C36" s="186"/>
      <c r="D36" s="187"/>
      <c r="F36" s="151"/>
      <c r="G36" s="151"/>
      <c r="H36" s="151"/>
      <c r="I36" s="151"/>
      <c r="J36" s="151"/>
      <c r="K36" s="151"/>
      <c r="L36" s="151"/>
    </row>
    <row r="37" spans="1:12" ht="14.25" x14ac:dyDescent="0.2">
      <c r="A37" s="165"/>
      <c r="B37" s="165"/>
      <c r="C37" s="188"/>
      <c r="D37" s="165"/>
      <c r="F37" s="151"/>
      <c r="G37" s="151"/>
      <c r="H37" s="151"/>
      <c r="I37" s="151"/>
      <c r="J37" s="151"/>
      <c r="K37" s="151"/>
      <c r="L37" s="151"/>
    </row>
    <row r="38" spans="1:12" ht="14.25" x14ac:dyDescent="0.2">
      <c r="A38" s="165"/>
      <c r="B38" s="165"/>
      <c r="C38" s="188"/>
      <c r="D38" s="165"/>
      <c r="F38" s="151"/>
      <c r="G38" s="151"/>
      <c r="H38" s="151"/>
      <c r="I38" s="151"/>
      <c r="J38" s="151"/>
      <c r="K38" s="151"/>
      <c r="L38" s="151"/>
    </row>
    <row r="39" spans="1:12" ht="14.25" x14ac:dyDescent="0.2">
      <c r="A39" s="165"/>
      <c r="B39" s="165"/>
      <c r="C39" s="188"/>
      <c r="D39" s="165"/>
      <c r="F39" s="151"/>
      <c r="G39" s="151"/>
      <c r="H39" s="151"/>
      <c r="I39" s="151"/>
      <c r="J39" s="151"/>
      <c r="K39" s="151"/>
      <c r="L39" s="151"/>
    </row>
    <row r="40" spans="1:12" ht="15" x14ac:dyDescent="0.2">
      <c r="A40" s="165"/>
      <c r="B40" s="189"/>
      <c r="C40" s="190"/>
      <c r="D40" s="165"/>
      <c r="F40" s="151"/>
      <c r="G40" s="151"/>
      <c r="H40" s="151"/>
      <c r="I40" s="151"/>
      <c r="J40" s="151"/>
      <c r="K40" s="151"/>
      <c r="L40" s="151"/>
    </row>
    <row r="41" spans="1:12" ht="15" x14ac:dyDescent="0.2">
      <c r="A41" s="179"/>
      <c r="B41" s="189"/>
      <c r="C41" s="190"/>
      <c r="D41" s="179"/>
      <c r="E41" s="151"/>
      <c r="F41" s="151"/>
      <c r="G41" s="151"/>
      <c r="H41" s="151"/>
      <c r="I41" s="151"/>
      <c r="J41" s="151"/>
      <c r="K41" s="151"/>
      <c r="L41" s="151"/>
    </row>
    <row r="42" spans="1:12" ht="16.5" x14ac:dyDescent="0.2">
      <c r="A42" s="191"/>
      <c r="B42" s="151"/>
      <c r="C42" s="151"/>
      <c r="E42" s="151"/>
      <c r="F42" s="151"/>
      <c r="G42" s="151"/>
      <c r="H42" s="151"/>
      <c r="I42" s="151"/>
      <c r="J42" s="151"/>
      <c r="K42" s="151"/>
      <c r="L42" s="151"/>
    </row>
    <row r="43" spans="1:12" x14ac:dyDescent="0.2">
      <c r="A43" s="192"/>
      <c r="B43" s="193"/>
      <c r="C43" s="193"/>
      <c r="E43" s="151"/>
      <c r="F43" s="151"/>
      <c r="G43" s="151"/>
      <c r="H43" s="151"/>
      <c r="I43" s="151"/>
      <c r="J43" s="151"/>
      <c r="K43" s="151"/>
      <c r="L43" s="151"/>
    </row>
    <row r="44" spans="1:12" ht="14.25" x14ac:dyDescent="0.2">
      <c r="A44" s="165"/>
      <c r="B44" s="194"/>
      <c r="C44" s="193"/>
      <c r="E44" s="151"/>
      <c r="F44" s="151"/>
      <c r="G44" s="151"/>
      <c r="H44" s="151"/>
      <c r="I44" s="151"/>
      <c r="J44" s="151"/>
      <c r="K44" s="151"/>
      <c r="L44" s="151"/>
    </row>
    <row r="45" spans="1:12" ht="14.25" x14ac:dyDescent="0.2">
      <c r="A45" s="165"/>
      <c r="B45" s="194"/>
      <c r="C45" s="165"/>
      <c r="E45" s="151"/>
      <c r="F45" s="151"/>
      <c r="G45" s="151"/>
      <c r="H45" s="151"/>
      <c r="I45" s="151"/>
      <c r="J45" s="151"/>
      <c r="K45" s="151"/>
      <c r="L45" s="151"/>
    </row>
    <row r="46" spans="1:12" ht="14.25" x14ac:dyDescent="0.2">
      <c r="A46" s="165"/>
      <c r="B46" s="188"/>
      <c r="C46" s="193"/>
      <c r="E46" s="151"/>
      <c r="F46" s="151"/>
      <c r="G46" s="151"/>
      <c r="H46" s="151"/>
      <c r="I46" s="151"/>
      <c r="J46" s="151"/>
      <c r="K46" s="151"/>
      <c r="L46" s="151"/>
    </row>
    <row r="47" spans="1:12" ht="14.25" x14ac:dyDescent="0.2">
      <c r="A47" s="165"/>
      <c r="B47" s="194"/>
      <c r="C47" s="165"/>
      <c r="E47" s="151"/>
      <c r="F47" s="151"/>
      <c r="G47" s="151"/>
      <c r="H47" s="151"/>
      <c r="I47" s="151"/>
      <c r="J47" s="151"/>
      <c r="K47" s="151"/>
      <c r="L47" s="151"/>
    </row>
    <row r="48" spans="1:12" ht="14.25" x14ac:dyDescent="0.2">
      <c r="A48" s="165"/>
      <c r="B48" s="188"/>
      <c r="C48" s="193"/>
      <c r="E48" s="151"/>
      <c r="F48" s="151"/>
      <c r="G48" s="151"/>
      <c r="H48" s="151"/>
      <c r="I48" s="151"/>
      <c r="J48" s="151"/>
      <c r="K48" s="151"/>
      <c r="L48" s="151"/>
    </row>
    <row r="49" spans="1:12" ht="14.25" x14ac:dyDescent="0.2">
      <c r="A49" s="165"/>
      <c r="B49" s="194"/>
      <c r="C49" s="165"/>
      <c r="E49" s="151"/>
      <c r="F49" s="151"/>
      <c r="G49" s="151"/>
      <c r="H49" s="151"/>
      <c r="I49" s="151"/>
      <c r="J49" s="151"/>
      <c r="K49" s="151"/>
      <c r="L49" s="151"/>
    </row>
    <row r="50" spans="1:12" ht="14.25" x14ac:dyDescent="0.2">
      <c r="A50" s="165"/>
      <c r="B50" s="188"/>
      <c r="C50" s="193"/>
      <c r="E50" s="151"/>
      <c r="F50" s="151"/>
      <c r="G50" s="151"/>
      <c r="H50" s="151"/>
      <c r="I50" s="151"/>
      <c r="J50" s="151"/>
      <c r="K50" s="151"/>
      <c r="L50" s="151"/>
    </row>
    <row r="51" spans="1:12" ht="14.25" x14ac:dyDescent="0.2">
      <c r="A51" s="165"/>
      <c r="B51" s="194"/>
      <c r="C51" s="165"/>
      <c r="E51" s="151"/>
      <c r="F51" s="151"/>
      <c r="G51" s="151"/>
      <c r="H51" s="151"/>
      <c r="I51" s="151"/>
      <c r="J51" s="151"/>
      <c r="K51" s="151"/>
      <c r="L51" s="151"/>
    </row>
    <row r="52" spans="1:12" ht="14.25" x14ac:dyDescent="0.2">
      <c r="A52" s="165"/>
      <c r="B52" s="188"/>
      <c r="C52" s="193"/>
      <c r="E52" s="151"/>
      <c r="F52" s="151"/>
      <c r="G52" s="151"/>
      <c r="H52" s="151"/>
      <c r="I52" s="151"/>
      <c r="J52" s="151"/>
      <c r="K52" s="151"/>
      <c r="L52" s="151"/>
    </row>
    <row r="53" spans="1:12" ht="16.5" x14ac:dyDescent="0.2">
      <c r="A53" s="191"/>
      <c r="B53" s="151"/>
      <c r="C53" s="151"/>
      <c r="E53" s="151"/>
      <c r="F53" s="151"/>
      <c r="G53" s="151"/>
      <c r="H53" s="151"/>
      <c r="I53" s="151"/>
      <c r="J53" s="151"/>
      <c r="K53" s="151"/>
      <c r="L53" s="151"/>
    </row>
    <row r="54" spans="1:12" x14ac:dyDescent="0.2">
      <c r="A54" s="151"/>
      <c r="B54" s="151"/>
      <c r="C54" s="151"/>
      <c r="E54" s="151"/>
      <c r="F54" s="151"/>
      <c r="G54" s="151"/>
      <c r="H54" s="151"/>
      <c r="I54" s="151"/>
      <c r="J54" s="151"/>
      <c r="K54" s="151"/>
      <c r="L54" s="151"/>
    </row>
    <row r="55" spans="1:12" x14ac:dyDescent="0.2">
      <c r="A55" s="151"/>
      <c r="B55" s="151"/>
      <c r="C55" s="151"/>
      <c r="E55" s="151"/>
      <c r="F55" s="151"/>
      <c r="G55" s="151"/>
      <c r="H55" s="151"/>
      <c r="I55" s="151"/>
      <c r="J55" s="151"/>
      <c r="K55" s="151"/>
      <c r="L55" s="151"/>
    </row>
    <row r="56" spans="1:12" x14ac:dyDescent="0.2">
      <c r="A56" s="195"/>
      <c r="B56" s="151"/>
      <c r="C56" s="151"/>
      <c r="E56" s="151"/>
      <c r="F56" s="151"/>
      <c r="G56" s="151"/>
      <c r="H56" s="151"/>
      <c r="I56" s="151"/>
      <c r="J56" s="151"/>
      <c r="K56" s="151"/>
      <c r="L56" s="151"/>
    </row>
    <row r="57" spans="1:12" x14ac:dyDescent="0.2">
      <c r="A57" s="151"/>
      <c r="B57" s="151"/>
      <c r="C57" s="151"/>
      <c r="E57" s="151"/>
    </row>
    <row r="58" spans="1:12" x14ac:dyDescent="0.2">
      <c r="A58" s="151"/>
      <c r="B58" s="151"/>
      <c r="C58" s="151"/>
      <c r="E58" s="151"/>
    </row>
    <row r="59" spans="1:12" x14ac:dyDescent="0.2">
      <c r="A59" s="151"/>
      <c r="B59" s="151"/>
      <c r="C59" s="151"/>
      <c r="E59" s="151"/>
    </row>
    <row r="60" spans="1:12" x14ac:dyDescent="0.2">
      <c r="A60" s="151"/>
      <c r="B60" s="151"/>
      <c r="C60" s="151"/>
      <c r="E60" s="151"/>
    </row>
    <row r="61" spans="1:12" x14ac:dyDescent="0.2">
      <c r="A61" s="151"/>
      <c r="B61" s="151"/>
      <c r="C61" s="151"/>
      <c r="E61" s="151"/>
    </row>
    <row r="62" spans="1:12" x14ac:dyDescent="0.2">
      <c r="A62" s="151"/>
      <c r="B62" s="151"/>
      <c r="C62" s="151"/>
      <c r="E62" s="151"/>
    </row>
    <row r="63" spans="1:12" x14ac:dyDescent="0.2">
      <c r="A63" s="151"/>
      <c r="B63" s="151"/>
      <c r="C63" s="151"/>
      <c r="E63" s="151"/>
    </row>
    <row r="64" spans="1:12" x14ac:dyDescent="0.2">
      <c r="A64" s="151"/>
      <c r="B64" s="151"/>
      <c r="C64" s="151"/>
      <c r="E64" s="151"/>
    </row>
    <row r="65" spans="1:5" x14ac:dyDescent="0.2">
      <c r="A65" s="151"/>
      <c r="B65" s="151"/>
      <c r="C65" s="151"/>
      <c r="E65" s="151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"/>
  <sheetViews>
    <sheetView zoomScaleNormal="100" workbookViewId="0">
      <selection activeCell="B16" sqref="B16"/>
    </sheetView>
  </sheetViews>
  <sheetFormatPr defaultRowHeight="12.75" x14ac:dyDescent="0.2"/>
  <cols>
    <col min="1" max="1" width="8.5703125" style="1" customWidth="1"/>
    <col min="2" max="2" width="67.140625" style="1" customWidth="1"/>
    <col min="3" max="3" width="13.7109375" style="1" customWidth="1"/>
    <col min="4" max="4" width="10.28515625" style="1" customWidth="1"/>
    <col min="5" max="5" width="13.7109375" style="1" customWidth="1"/>
    <col min="6" max="16384" width="9.140625" style="1"/>
  </cols>
  <sheetData>
    <row r="1" spans="1:3" x14ac:dyDescent="0.2">
      <c r="A1" s="103" t="s">
        <v>232</v>
      </c>
    </row>
    <row r="2" spans="1:3" ht="13.5" thickBot="1" x14ac:dyDescent="0.25"/>
    <row r="3" spans="1:3" ht="18" x14ac:dyDescent="0.25">
      <c r="B3" s="320" t="s">
        <v>218</v>
      </c>
      <c r="C3" s="321"/>
    </row>
    <row r="4" spans="1:3" ht="15" x14ac:dyDescent="0.25">
      <c r="A4" s="151"/>
      <c r="B4" s="150" t="s">
        <v>202</v>
      </c>
      <c r="C4" s="196"/>
    </row>
    <row r="5" spans="1:3" ht="15" x14ac:dyDescent="0.25">
      <c r="A5" s="151"/>
      <c r="B5" s="152" t="s">
        <v>122</v>
      </c>
      <c r="C5" s="153">
        <v>2100</v>
      </c>
    </row>
    <row r="6" spans="1:3" ht="15" x14ac:dyDescent="0.25">
      <c r="A6" s="151"/>
      <c r="B6" s="154" t="s">
        <v>123</v>
      </c>
      <c r="C6" s="153">
        <v>2031</v>
      </c>
    </row>
    <row r="7" spans="1:3" ht="14.25" x14ac:dyDescent="0.2">
      <c r="A7" s="151"/>
      <c r="B7" s="197" t="s">
        <v>124</v>
      </c>
      <c r="C7" s="198">
        <v>44</v>
      </c>
    </row>
    <row r="8" spans="1:3" ht="14.25" x14ac:dyDescent="0.2">
      <c r="A8" s="151"/>
      <c r="B8" s="197" t="s">
        <v>125</v>
      </c>
      <c r="C8" s="198">
        <v>1192</v>
      </c>
    </row>
    <row r="9" spans="1:3" ht="14.25" x14ac:dyDescent="0.2">
      <c r="A9" s="151"/>
      <c r="B9" s="197" t="s">
        <v>126</v>
      </c>
      <c r="C9" s="198">
        <v>372</v>
      </c>
    </row>
    <row r="10" spans="1:3" ht="14.25" x14ac:dyDescent="0.2">
      <c r="A10" s="151"/>
      <c r="B10" s="197" t="s">
        <v>127</v>
      </c>
      <c r="C10" s="198">
        <v>22</v>
      </c>
    </row>
    <row r="11" spans="1:3" ht="14.25" x14ac:dyDescent="0.2">
      <c r="A11" s="151"/>
      <c r="B11" s="197" t="s">
        <v>128</v>
      </c>
      <c r="C11" s="198">
        <v>350</v>
      </c>
    </row>
    <row r="12" spans="1:3" ht="14.25" x14ac:dyDescent="0.2">
      <c r="A12" s="151"/>
      <c r="B12" s="197" t="s">
        <v>129</v>
      </c>
      <c r="C12" s="198">
        <v>1</v>
      </c>
    </row>
    <row r="13" spans="1:3" ht="14.25" x14ac:dyDescent="0.2">
      <c r="A13" s="151"/>
      <c r="B13" s="197" t="s">
        <v>130</v>
      </c>
      <c r="C13" s="198">
        <v>30</v>
      </c>
    </row>
    <row r="14" spans="1:3" ht="14.25" x14ac:dyDescent="0.2">
      <c r="A14" s="151"/>
      <c r="B14" s="199" t="s">
        <v>131</v>
      </c>
      <c r="C14" s="200">
        <v>0</v>
      </c>
    </row>
    <row r="15" spans="1:3" ht="14.25" x14ac:dyDescent="0.2">
      <c r="A15" s="151"/>
      <c r="B15" s="298" t="s">
        <v>281</v>
      </c>
      <c r="C15" s="200">
        <v>0</v>
      </c>
    </row>
    <row r="16" spans="1:3" ht="15" x14ac:dyDescent="0.25">
      <c r="A16" s="151" t="s">
        <v>132</v>
      </c>
      <c r="B16" s="150" t="s">
        <v>133</v>
      </c>
      <c r="C16" s="196"/>
    </row>
    <row r="17" spans="1:5" ht="14.25" x14ac:dyDescent="0.2">
      <c r="A17" s="151"/>
      <c r="B17" s="201" t="s">
        <v>283</v>
      </c>
      <c r="C17" s="202">
        <v>4625</v>
      </c>
    </row>
    <row r="18" spans="1:5" ht="14.25" x14ac:dyDescent="0.2">
      <c r="A18" s="151"/>
      <c r="B18" s="197" t="s">
        <v>284</v>
      </c>
      <c r="C18" s="198">
        <v>4694</v>
      </c>
    </row>
    <row r="19" spans="1:5" ht="14.25" x14ac:dyDescent="0.2">
      <c r="B19" s="197" t="s">
        <v>282</v>
      </c>
      <c r="C19" s="292">
        <f>C5-C6</f>
        <v>69</v>
      </c>
    </row>
    <row r="20" spans="1:5" ht="14.25" x14ac:dyDescent="0.2">
      <c r="B20" s="203"/>
      <c r="C20" s="204"/>
    </row>
    <row r="21" spans="1:5" s="103" customFormat="1" ht="15" x14ac:dyDescent="0.25">
      <c r="B21" s="152" t="s">
        <v>135</v>
      </c>
      <c r="C21" s="205">
        <f>MEDIAN(C17,C18)</f>
        <v>4659.5</v>
      </c>
    </row>
    <row r="22" spans="1:5" ht="15" x14ac:dyDescent="0.25">
      <c r="B22" s="154" t="s">
        <v>279</v>
      </c>
      <c r="C22" s="296">
        <f>C8/C21</f>
        <v>0.25582144006867691</v>
      </c>
    </row>
    <row r="23" spans="1:5" ht="15" x14ac:dyDescent="0.25">
      <c r="B23" s="154" t="s">
        <v>280</v>
      </c>
      <c r="C23" s="296">
        <f>MEDIAN(C5,C6)/C21</f>
        <v>0.44328790642772831</v>
      </c>
      <c r="E23" s="266"/>
    </row>
    <row r="24" spans="1:5" s="103" customFormat="1" ht="15" x14ac:dyDescent="0.25">
      <c r="B24" s="154" t="s">
        <v>238</v>
      </c>
      <c r="C24" s="294">
        <f>12/C23</f>
        <v>27.070442992011618</v>
      </c>
    </row>
    <row r="25" spans="1:5" ht="15" x14ac:dyDescent="0.25">
      <c r="B25" s="154" t="s">
        <v>134</v>
      </c>
      <c r="C25" s="156">
        <v>360</v>
      </c>
    </row>
    <row r="26" spans="1:5" ht="15" x14ac:dyDescent="0.25">
      <c r="B26" s="154" t="s">
        <v>233</v>
      </c>
      <c r="C26" s="156">
        <v>10</v>
      </c>
    </row>
    <row r="27" spans="1:5" ht="15" x14ac:dyDescent="0.25">
      <c r="B27" s="152" t="s">
        <v>234</v>
      </c>
      <c r="C27" s="155">
        <v>30</v>
      </c>
    </row>
    <row r="28" spans="1:5" ht="15" x14ac:dyDescent="0.25">
      <c r="B28" s="152" t="s">
        <v>235</v>
      </c>
      <c r="C28" s="155">
        <v>30</v>
      </c>
    </row>
    <row r="29" spans="1:5" s="103" customFormat="1" ht="15" x14ac:dyDescent="0.25">
      <c r="B29" s="152" t="s">
        <v>137</v>
      </c>
      <c r="C29" s="155">
        <f>30+(3*TRUNC(1/C23))</f>
        <v>36</v>
      </c>
    </row>
    <row r="30" spans="1:5" s="103" customFormat="1" ht="15" x14ac:dyDescent="0.25">
      <c r="B30" s="154" t="s">
        <v>37</v>
      </c>
      <c r="C30" s="295">
        <v>0.08</v>
      </c>
    </row>
    <row r="31" spans="1:5" s="103" customFormat="1" ht="15.75" thickBot="1" x14ac:dyDescent="0.3">
      <c r="B31" s="157" t="s">
        <v>136</v>
      </c>
      <c r="C31" s="297">
        <v>0.4</v>
      </c>
      <c r="D31" s="103" t="s">
        <v>285</v>
      </c>
    </row>
  </sheetData>
  <mergeCells count="1">
    <mergeCell ref="B3:C3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zoomScaleNormal="100" workbookViewId="0">
      <selection activeCell="J21" sqref="J21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117" bestFit="1" customWidth="1"/>
    <col min="6" max="6" width="9.7109375" bestFit="1" customWidth="1"/>
  </cols>
  <sheetData>
    <row r="1" spans="1:8" s="141" customFormat="1" ht="14.25" x14ac:dyDescent="0.2">
      <c r="A1" s="11" t="s">
        <v>200</v>
      </c>
      <c r="B1" s="139"/>
      <c r="C1" s="139"/>
      <c r="E1" s="142"/>
    </row>
    <row r="2" spans="1:8" s="141" customFormat="1" ht="14.25" x14ac:dyDescent="0.2">
      <c r="A2" s="134" t="s">
        <v>239</v>
      </c>
      <c r="B2" s="139"/>
      <c r="C2" s="139"/>
      <c r="E2" s="142"/>
    </row>
    <row r="3" spans="1:8" s="141" customFormat="1" ht="14.25" x14ac:dyDescent="0.2">
      <c r="A3" s="9" t="s">
        <v>201</v>
      </c>
      <c r="B3" s="139"/>
      <c r="C3" s="139"/>
      <c r="E3" s="142"/>
    </row>
    <row r="4" spans="1:8" s="141" customFormat="1" ht="15" thickBot="1" x14ac:dyDescent="0.25">
      <c r="B4" s="139"/>
      <c r="C4" s="139"/>
      <c r="E4" s="142"/>
    </row>
    <row r="5" spans="1:8" ht="15.75" x14ac:dyDescent="0.2">
      <c r="A5" s="327" t="s">
        <v>219</v>
      </c>
      <c r="B5" s="328"/>
      <c r="C5" s="328"/>
      <c r="D5" s="328"/>
      <c r="E5" s="328"/>
      <c r="F5" s="329"/>
    </row>
    <row r="6" spans="1:8" ht="16.5" thickBot="1" x14ac:dyDescent="0.25">
      <c r="A6" s="251"/>
      <c r="B6" s="252"/>
      <c r="C6" s="252"/>
      <c r="D6" s="252"/>
      <c r="E6" s="252"/>
      <c r="F6" s="253"/>
    </row>
    <row r="7" spans="1:8" ht="15" x14ac:dyDescent="0.25">
      <c r="A7" s="206"/>
      <c r="B7" s="140"/>
      <c r="C7" s="140"/>
      <c r="D7" s="324" t="s">
        <v>236</v>
      </c>
      <c r="E7" s="325"/>
      <c r="F7" s="326"/>
      <c r="G7" s="141"/>
      <c r="H7" s="141"/>
    </row>
    <row r="8" spans="1:8" ht="15" thickBot="1" x14ac:dyDescent="0.25">
      <c r="A8" s="203"/>
      <c r="B8" s="207"/>
      <c r="C8" s="207"/>
      <c r="D8" s="208" t="s">
        <v>187</v>
      </c>
      <c r="E8" s="209" t="s">
        <v>188</v>
      </c>
      <c r="F8" s="210" t="s">
        <v>189</v>
      </c>
      <c r="G8" s="141"/>
      <c r="H8" s="141"/>
    </row>
    <row r="9" spans="1:8" ht="14.25" x14ac:dyDescent="0.2">
      <c r="A9" s="211" t="s">
        <v>71</v>
      </c>
      <c r="B9" s="212" t="s">
        <v>72</v>
      </c>
      <c r="C9" s="213">
        <v>2.9700000000000001E-2</v>
      </c>
      <c r="D9" s="234">
        <v>2.9700000000000001E-2</v>
      </c>
      <c r="E9" s="235">
        <v>5.0799999999999998E-2</v>
      </c>
      <c r="F9" s="236">
        <v>6.2700000000000006E-2</v>
      </c>
      <c r="G9" s="141"/>
      <c r="H9" s="141"/>
    </row>
    <row r="10" spans="1:8" ht="14.25" x14ac:dyDescent="0.2">
      <c r="A10" s="215" t="s">
        <v>73</v>
      </c>
      <c r="B10" s="216" t="s">
        <v>74</v>
      </c>
      <c r="C10" s="217">
        <v>8.6E-3</v>
      </c>
      <c r="D10" s="234">
        <f>0.3%+0.56%</f>
        <v>8.6E-3</v>
      </c>
      <c r="E10" s="235">
        <f>0.48%+0.85%</f>
        <v>1.3299999999999999E-2</v>
      </c>
      <c r="F10" s="236">
        <f>0.82%+0.89%</f>
        <v>1.7099999999999997E-2</v>
      </c>
      <c r="G10" s="141"/>
      <c r="H10" s="141"/>
    </row>
    <row r="11" spans="1:8" ht="14.25" x14ac:dyDescent="0.2">
      <c r="A11" s="215" t="s">
        <v>75</v>
      </c>
      <c r="B11" s="216" t="s">
        <v>76</v>
      </c>
      <c r="C11" s="217">
        <v>0.12</v>
      </c>
      <c r="D11" s="234">
        <v>7.7799999999999994E-2</v>
      </c>
      <c r="E11" s="235">
        <v>0.1085</v>
      </c>
      <c r="F11" s="236">
        <v>0.13550000000000001</v>
      </c>
      <c r="G11" s="141"/>
      <c r="H11" s="141"/>
    </row>
    <row r="12" spans="1:8" ht="14.25" x14ac:dyDescent="0.2">
      <c r="A12" s="215" t="s">
        <v>77</v>
      </c>
      <c r="B12" s="216" t="s">
        <v>78</v>
      </c>
      <c r="C12" s="218">
        <f>(1+E12)^(E13/252)-1</f>
        <v>4.9388215129564372E-4</v>
      </c>
      <c r="D12" s="234" t="s">
        <v>270</v>
      </c>
      <c r="E12" s="219">
        <v>0.13250000000000001</v>
      </c>
      <c r="F12" s="214"/>
      <c r="G12" s="141"/>
      <c r="H12" s="141"/>
    </row>
    <row r="13" spans="1:8" ht="14.25" x14ac:dyDescent="0.2">
      <c r="A13" s="215" t="s">
        <v>79</v>
      </c>
      <c r="B13" s="322" t="s">
        <v>80</v>
      </c>
      <c r="C13" s="217">
        <v>0.03</v>
      </c>
      <c r="D13" s="290" t="s">
        <v>190</v>
      </c>
      <c r="E13" s="220">
        <v>1</v>
      </c>
      <c r="F13" s="221"/>
      <c r="G13" s="141"/>
      <c r="H13" s="141"/>
    </row>
    <row r="14" spans="1:8" ht="15" thickBot="1" x14ac:dyDescent="0.25">
      <c r="A14" s="222" t="s">
        <v>81</v>
      </c>
      <c r="B14" s="323"/>
      <c r="C14" s="223">
        <v>0</v>
      </c>
      <c r="D14" s="197"/>
      <c r="E14" s="224"/>
      <c r="F14" s="221"/>
      <c r="G14" s="141"/>
      <c r="H14" s="141"/>
    </row>
    <row r="15" spans="1:8" ht="14.25" x14ac:dyDescent="0.2">
      <c r="A15" s="225" t="s">
        <v>82</v>
      </c>
      <c r="B15" s="226"/>
      <c r="C15" s="227"/>
      <c r="D15" s="197"/>
      <c r="E15" s="224"/>
      <c r="F15" s="221"/>
      <c r="G15" s="141"/>
      <c r="H15" s="141"/>
    </row>
    <row r="16" spans="1:8" ht="15" thickBot="1" x14ac:dyDescent="0.25">
      <c r="A16" s="228" t="s">
        <v>83</v>
      </c>
      <c r="B16" s="229"/>
      <c r="C16" s="230"/>
      <c r="D16" s="197"/>
      <c r="E16" s="224"/>
      <c r="F16" s="221"/>
      <c r="G16" s="141"/>
      <c r="H16" s="141"/>
    </row>
    <row r="17" spans="1:8" ht="15.75" thickBot="1" x14ac:dyDescent="0.25">
      <c r="A17" s="231" t="s">
        <v>84</v>
      </c>
      <c r="B17" s="232"/>
      <c r="C17" s="233">
        <f>ROUND((((1+C9+C10)*(1+C11)*(1+C12))/(1-(C13+C14))-1),4)</f>
        <v>0.19950000000000001</v>
      </c>
      <c r="D17" s="237">
        <v>0.21429999999999999</v>
      </c>
      <c r="E17" s="238">
        <v>0.2717</v>
      </c>
      <c r="F17" s="239">
        <v>0.3362</v>
      </c>
      <c r="G17" s="141"/>
      <c r="H17" s="141"/>
    </row>
    <row r="18" spans="1:8" ht="14.25" x14ac:dyDescent="0.2">
      <c r="A18" s="141"/>
      <c r="B18" s="141"/>
      <c r="C18" s="141"/>
      <c r="D18" s="141"/>
      <c r="E18" s="142"/>
      <c r="F18" s="141"/>
      <c r="G18" s="141"/>
      <c r="H18" s="141"/>
    </row>
    <row r="19" spans="1:8" ht="14.25" x14ac:dyDescent="0.2">
      <c r="A19" s="141"/>
      <c r="B19" s="141"/>
      <c r="C19" s="141"/>
      <c r="D19" s="141"/>
      <c r="E19" s="142"/>
      <c r="F19" s="141"/>
      <c r="G19" s="141"/>
      <c r="H19" s="141"/>
    </row>
    <row r="20" spans="1:8" ht="14.25" x14ac:dyDescent="0.2">
      <c r="A20" s="141"/>
      <c r="B20" s="141"/>
      <c r="C20" s="141"/>
      <c r="D20" s="141"/>
      <c r="E20" s="142"/>
      <c r="F20" s="141"/>
      <c r="G20" s="141"/>
      <c r="H20" s="141"/>
    </row>
    <row r="21" spans="1:8" ht="14.25" x14ac:dyDescent="0.2">
      <c r="A21" s="141"/>
      <c r="B21" s="141"/>
      <c r="C21" s="141"/>
      <c r="D21" s="141"/>
      <c r="E21" s="142"/>
      <c r="F21" s="141"/>
      <c r="G21" s="141"/>
      <c r="H21" s="141"/>
    </row>
  </sheetData>
  <mergeCells count="3">
    <mergeCell ref="B13:B14"/>
    <mergeCell ref="D7:F7"/>
    <mergeCell ref="A5:F5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workbookViewId="0">
      <selection activeCell="D17" sqref="D17"/>
    </sheetView>
  </sheetViews>
  <sheetFormatPr defaultRowHeight="19.5" customHeight="1" x14ac:dyDescent="0.2"/>
  <cols>
    <col min="1" max="1" width="24.5703125" style="1" customWidth="1"/>
    <col min="2" max="2" width="20.85546875" style="1" customWidth="1"/>
    <col min="3" max="16384" width="9.140625" style="1"/>
  </cols>
  <sheetData>
    <row r="1" spans="1:2" ht="19.5" customHeight="1" thickBot="1" x14ac:dyDescent="0.25">
      <c r="A1" s="330" t="s">
        <v>221</v>
      </c>
      <c r="B1" s="331"/>
    </row>
    <row r="2" spans="1:2" s="103" customFormat="1" ht="19.5" customHeight="1" x14ac:dyDescent="0.2">
      <c r="A2" s="254" t="s">
        <v>203</v>
      </c>
      <c r="B2" s="255" t="s">
        <v>272</v>
      </c>
    </row>
    <row r="3" spans="1:2" ht="19.5" customHeight="1" x14ac:dyDescent="0.2">
      <c r="A3" s="159">
        <v>1</v>
      </c>
      <c r="B3" s="158">
        <v>33.629999999999995</v>
      </c>
    </row>
    <row r="4" spans="1:2" ht="19.5" customHeight="1" x14ac:dyDescent="0.2">
      <c r="A4" s="159">
        <v>2</v>
      </c>
      <c r="B4" s="158">
        <v>43.13</v>
      </c>
    </row>
    <row r="5" spans="1:2" ht="19.5" customHeight="1" x14ac:dyDescent="0.2">
      <c r="A5" s="159">
        <v>3</v>
      </c>
      <c r="B5" s="158">
        <v>48.68</v>
      </c>
    </row>
    <row r="6" spans="1:2" ht="19.5" customHeight="1" x14ac:dyDescent="0.2">
      <c r="A6" s="159">
        <v>4</v>
      </c>
      <c r="B6" s="158">
        <v>52.62</v>
      </c>
    </row>
    <row r="7" spans="1:2" ht="19.5" customHeight="1" x14ac:dyDescent="0.2">
      <c r="A7" s="159">
        <v>5</v>
      </c>
      <c r="B7" s="158">
        <v>55.679999999999993</v>
      </c>
    </row>
    <row r="8" spans="1:2" ht="19.5" customHeight="1" x14ac:dyDescent="0.2">
      <c r="A8" s="159">
        <v>6</v>
      </c>
      <c r="B8" s="158">
        <v>58.18</v>
      </c>
    </row>
    <row r="9" spans="1:2" ht="19.5" customHeight="1" x14ac:dyDescent="0.2">
      <c r="A9" s="159">
        <v>7</v>
      </c>
      <c r="B9" s="158">
        <v>60.29</v>
      </c>
    </row>
    <row r="10" spans="1:2" ht="19.5" customHeight="1" x14ac:dyDescent="0.2">
      <c r="A10" s="159">
        <v>8</v>
      </c>
      <c r="B10" s="158">
        <v>62.12</v>
      </c>
    </row>
    <row r="11" spans="1:2" ht="19.5" customHeight="1" x14ac:dyDescent="0.2">
      <c r="A11" s="159">
        <v>9</v>
      </c>
      <c r="B11" s="158">
        <v>63.73</v>
      </c>
    </row>
    <row r="12" spans="1:2" ht="19.5" customHeight="1" x14ac:dyDescent="0.2">
      <c r="A12" s="159">
        <v>10</v>
      </c>
      <c r="B12" s="158">
        <v>65.180000000000007</v>
      </c>
    </row>
    <row r="13" spans="1:2" ht="19.5" customHeight="1" x14ac:dyDescent="0.2">
      <c r="A13" s="159">
        <v>11</v>
      </c>
      <c r="B13" s="158">
        <v>66.47999999999999</v>
      </c>
    </row>
    <row r="14" spans="1:2" ht="19.5" customHeight="1" x14ac:dyDescent="0.2">
      <c r="A14" s="159">
        <v>12</v>
      </c>
      <c r="B14" s="158">
        <v>67.67</v>
      </c>
    </row>
    <row r="15" spans="1:2" ht="19.5" customHeight="1" x14ac:dyDescent="0.2">
      <c r="A15" s="159">
        <v>13</v>
      </c>
      <c r="B15" s="158">
        <v>68.77</v>
      </c>
    </row>
    <row r="16" spans="1:2" ht="19.5" customHeight="1" x14ac:dyDescent="0.2">
      <c r="A16" s="159">
        <v>14</v>
      </c>
      <c r="B16" s="158">
        <v>69.789999999999992</v>
      </c>
    </row>
    <row r="17" spans="1:2" ht="19.5" customHeight="1" thickBot="1" x14ac:dyDescent="0.25">
      <c r="A17" s="160">
        <v>15</v>
      </c>
      <c r="B17" s="161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7"/>
  <sheetViews>
    <sheetView workbookViewId="0">
      <selection activeCell="A24" sqref="A24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243" t="s">
        <v>225</v>
      </c>
    </row>
    <row r="2" spans="1:1" x14ac:dyDescent="0.2">
      <c r="A2" s="240"/>
    </row>
    <row r="3" spans="1:1" x14ac:dyDescent="0.2">
      <c r="A3" s="240" t="s">
        <v>240</v>
      </c>
    </row>
    <row r="4" spans="1:1" x14ac:dyDescent="0.2">
      <c r="A4" s="240"/>
    </row>
    <row r="5" spans="1:1" x14ac:dyDescent="0.2">
      <c r="A5" s="240"/>
    </row>
    <row r="6" spans="1:1" x14ac:dyDescent="0.2">
      <c r="A6" s="240"/>
    </row>
    <row r="7" spans="1:1" x14ac:dyDescent="0.2">
      <c r="A7" s="240"/>
    </row>
    <row r="8" spans="1:1" x14ac:dyDescent="0.2">
      <c r="A8" s="240"/>
    </row>
    <row r="9" spans="1:1" x14ac:dyDescent="0.2">
      <c r="A9" s="240"/>
    </row>
    <row r="10" spans="1:1" x14ac:dyDescent="0.2">
      <c r="A10" s="240"/>
    </row>
    <row r="11" spans="1:1" x14ac:dyDescent="0.2">
      <c r="A11" s="240"/>
    </row>
    <row r="12" spans="1:1" ht="19.5" x14ac:dyDescent="0.35">
      <c r="A12" s="241" t="s">
        <v>222</v>
      </c>
    </row>
    <row r="13" spans="1:1" ht="15" x14ac:dyDescent="0.2">
      <c r="A13" s="241" t="s">
        <v>105</v>
      </c>
    </row>
    <row r="14" spans="1:1" ht="15" x14ac:dyDescent="0.2">
      <c r="A14" s="241" t="s">
        <v>110</v>
      </c>
    </row>
    <row r="15" spans="1:1" ht="19.5" x14ac:dyDescent="0.35">
      <c r="A15" s="241" t="s">
        <v>223</v>
      </c>
    </row>
    <row r="16" spans="1:1" ht="19.5" x14ac:dyDescent="0.35">
      <c r="A16" s="241" t="s">
        <v>224</v>
      </c>
    </row>
    <row r="17" spans="1:1" ht="15.75" thickBot="1" x14ac:dyDescent="0.25">
      <c r="A17" s="242" t="s">
        <v>106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4"/>
  <sheetViews>
    <sheetView topLeftCell="A7" zoomScaleNormal="100" workbookViewId="0">
      <selection activeCell="E32" sqref="E32"/>
    </sheetView>
  </sheetViews>
  <sheetFormatPr defaultRowHeight="12.75" x14ac:dyDescent="0.2"/>
  <cols>
    <col min="1" max="1" width="58.28515625" style="266" customWidth="1"/>
    <col min="2" max="2" width="11.140625" style="266" bestFit="1" customWidth="1"/>
    <col min="3" max="3" width="11.28515625" style="266" bestFit="1" customWidth="1"/>
    <col min="4" max="16384" width="9.140625" style="266"/>
  </cols>
  <sheetData>
    <row r="1" spans="1:7" x14ac:dyDescent="0.2">
      <c r="A1" s="11" t="s">
        <v>200</v>
      </c>
    </row>
    <row r="2" spans="1:7" x14ac:dyDescent="0.2">
      <c r="A2" s="271" t="s">
        <v>247</v>
      </c>
    </row>
    <row r="3" spans="1:7" x14ac:dyDescent="0.2">
      <c r="A3" s="271" t="s">
        <v>273</v>
      </c>
    </row>
    <row r="4" spans="1:7" x14ac:dyDescent="0.2">
      <c r="A4" s="7" t="s">
        <v>271</v>
      </c>
    </row>
    <row r="5" spans="1:7" x14ac:dyDescent="0.2">
      <c r="A5" s="7"/>
    </row>
    <row r="6" spans="1:7" s="4" customFormat="1" ht="15.6" customHeight="1" x14ac:dyDescent="0.2">
      <c r="A6" s="291" t="s">
        <v>278</v>
      </c>
      <c r="B6" s="133"/>
      <c r="C6" s="133"/>
      <c r="D6" s="133"/>
      <c r="E6" s="133"/>
      <c r="F6" s="133"/>
      <c r="G6" s="6"/>
    </row>
    <row r="7" spans="1:7" s="4" customFormat="1" ht="16.5" customHeight="1" x14ac:dyDescent="0.2">
      <c r="A7" s="291" t="s">
        <v>275</v>
      </c>
      <c r="B7" s="5"/>
      <c r="C7" s="5"/>
      <c r="D7" s="6"/>
      <c r="E7" s="6"/>
      <c r="F7" s="6"/>
      <c r="G7" s="6"/>
    </row>
    <row r="8" spans="1:7" ht="13.5" thickBot="1" x14ac:dyDescent="0.25"/>
    <row r="9" spans="1:7" ht="18" x14ac:dyDescent="0.25">
      <c r="A9" s="332" t="s">
        <v>267</v>
      </c>
      <c r="B9" s="333"/>
      <c r="C9" s="334"/>
    </row>
    <row r="10" spans="1:7" s="272" customFormat="1" ht="18" x14ac:dyDescent="0.25">
      <c r="A10" s="287"/>
      <c r="B10" s="286"/>
      <c r="C10" s="288"/>
    </row>
    <row r="11" spans="1:7" s="103" customFormat="1" ht="15" x14ac:dyDescent="0.25">
      <c r="A11" s="273" t="s">
        <v>268</v>
      </c>
      <c r="B11" s="274" t="s">
        <v>248</v>
      </c>
      <c r="C11" s="275" t="s">
        <v>140</v>
      </c>
    </row>
    <row r="12" spans="1:7" ht="14.25" x14ac:dyDescent="0.2">
      <c r="A12" s="276" t="s">
        <v>256</v>
      </c>
      <c r="B12" s="277" t="s">
        <v>249</v>
      </c>
      <c r="C12" s="198">
        <v>7550</v>
      </c>
    </row>
    <row r="13" spans="1:7" ht="14.25" x14ac:dyDescent="0.2">
      <c r="A13" s="197" t="s">
        <v>257</v>
      </c>
      <c r="B13" s="278" t="s">
        <v>254</v>
      </c>
      <c r="C13" s="279">
        <f>0.0362741*C12^0.2336249</f>
        <v>0.29213367002376217</v>
      </c>
    </row>
    <row r="14" spans="1:7" ht="14.25" x14ac:dyDescent="0.2">
      <c r="A14" s="197" t="s">
        <v>258</v>
      </c>
      <c r="B14" s="278" t="s">
        <v>255</v>
      </c>
      <c r="C14" s="280">
        <f>C12*C13/1000</f>
        <v>2.2056092086794044</v>
      </c>
    </row>
    <row r="15" spans="1:7" ht="14.25" x14ac:dyDescent="0.2">
      <c r="A15" s="197" t="s">
        <v>264</v>
      </c>
      <c r="B15" s="278" t="s">
        <v>250</v>
      </c>
      <c r="C15" s="281">
        <f>(C14*30)</f>
        <v>66.168276260382129</v>
      </c>
    </row>
    <row r="16" spans="1:7" ht="14.25" x14ac:dyDescent="0.2">
      <c r="A16" s="197" t="s">
        <v>260</v>
      </c>
      <c r="B16" s="278" t="s">
        <v>89</v>
      </c>
      <c r="C16" s="284">
        <v>2.5</v>
      </c>
    </row>
    <row r="17" spans="1:3" ht="14.25" x14ac:dyDescent="0.2">
      <c r="A17" s="197" t="s">
        <v>259</v>
      </c>
      <c r="B17" s="278" t="s">
        <v>255</v>
      </c>
      <c r="C17" s="280">
        <f>IFERROR(C14*7/C16,0)</f>
        <v>6.1757057843023322</v>
      </c>
    </row>
    <row r="18" spans="1:3" ht="14.25" x14ac:dyDescent="0.2">
      <c r="A18" s="276" t="s">
        <v>251</v>
      </c>
      <c r="B18" s="278" t="s">
        <v>252</v>
      </c>
      <c r="C18" s="221">
        <v>500</v>
      </c>
    </row>
    <row r="19" spans="1:3" ht="14.25" x14ac:dyDescent="0.2">
      <c r="A19" s="197" t="s">
        <v>265</v>
      </c>
      <c r="B19" s="278"/>
      <c r="C19" s="198">
        <v>2</v>
      </c>
    </row>
    <row r="20" spans="1:3" ht="14.25" x14ac:dyDescent="0.2">
      <c r="A20" s="276" t="s">
        <v>266</v>
      </c>
      <c r="B20" s="278" t="s">
        <v>253</v>
      </c>
      <c r="C20" s="198">
        <v>15</v>
      </c>
    </row>
    <row r="21" spans="1:3" ht="14.25" x14ac:dyDescent="0.2">
      <c r="A21" s="197" t="s">
        <v>261</v>
      </c>
      <c r="B21" s="278" t="s">
        <v>250</v>
      </c>
      <c r="C21" s="221">
        <f>IF(AND(C20&gt;=15,C19=1),5.8,C20/2)</f>
        <v>7.5</v>
      </c>
    </row>
    <row r="22" spans="1:3" ht="14.25" x14ac:dyDescent="0.2">
      <c r="A22" s="276" t="s">
        <v>262</v>
      </c>
      <c r="B22" s="278"/>
      <c r="C22" s="280">
        <f>IFERROR(C17/C21,0)</f>
        <v>0.82342743790697759</v>
      </c>
    </row>
    <row r="23" spans="1:3" ht="14.25" x14ac:dyDescent="0.2">
      <c r="A23" s="276" t="s">
        <v>269</v>
      </c>
      <c r="B23" s="278"/>
      <c r="C23" s="289">
        <v>1</v>
      </c>
    </row>
    <row r="24" spans="1:3" ht="15" thickBot="1" x14ac:dyDescent="0.25">
      <c r="A24" s="282" t="s">
        <v>263</v>
      </c>
      <c r="B24" s="283"/>
      <c r="C24" s="285">
        <f>IFERROR(C22/C23,0)</f>
        <v>0.82342743790697759</v>
      </c>
    </row>
  </sheetData>
  <mergeCells count="1">
    <mergeCell ref="A9:C9"/>
  </mergeCells>
  <conditionalFormatting sqref="C21">
    <cfRule type="expression" dxfId="0" priority="1">
      <formula>"SE(E(C20&gt;=15;C19=1))"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1. Coleta Domiciliar</vt:lpstr>
      <vt:lpstr>2.Encargos Sociais</vt:lpstr>
      <vt:lpstr>3.CAGED</vt:lpstr>
      <vt:lpstr>4.BDI</vt:lpstr>
      <vt:lpstr>5. Depreciação</vt:lpstr>
      <vt:lpstr>6.Remuneração de capital</vt:lpstr>
      <vt:lpstr>7. Dimensionamento</vt:lpstr>
      <vt:lpstr>AbaDeprec</vt:lpstr>
      <vt:lpstr>AbaRemun</vt:lpstr>
      <vt:lpstr>'1. Coleta Domiciliar'!Area_de_impressao</vt:lpstr>
      <vt:lpstr>'2.Encargos Sociais'!Area_de_impressao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Prefeitura de Barão do Triunfo</cp:lastModifiedBy>
  <cp:lastPrinted>2022-07-08T13:31:22Z</cp:lastPrinted>
  <dcterms:created xsi:type="dcterms:W3CDTF">2000-12-13T10:02:50Z</dcterms:created>
  <dcterms:modified xsi:type="dcterms:W3CDTF">2022-07-11T13:16:08Z</dcterms:modified>
</cp:coreProperties>
</file>