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 3\Planilha de preços licitação 2\"/>
    </mc:Choice>
  </mc:AlternateContent>
  <xr:revisionPtr revIDLastSave="0" documentId="13_ncr:1_{C329BB3B-05F9-4DA0-9A04-A0B665E19168}" xr6:coauthVersionLast="47" xr6:coauthVersionMax="47" xr10:uidLastSave="{00000000-0000-0000-0000-000000000000}"/>
  <bookViews>
    <workbookView xWindow="-120" yWindow="-120" windowWidth="24240" windowHeight="13020" activeTab="2" xr2:uid="{00000000-000D-0000-FFFF-FFFF00000000}"/>
  </bookViews>
  <sheets>
    <sheet name="Dados" sheetId="1" r:id="rId1"/>
    <sheet name="Motorista" sheetId="3" r:id="rId2"/>
    <sheet name="Custo total" sheetId="4" r:id="rId3"/>
  </sheets>
  <calcPr calcId="191029"/>
</workbook>
</file>

<file path=xl/calcChain.xml><?xml version="1.0" encoding="utf-8"?>
<calcChain xmlns="http://schemas.openxmlformats.org/spreadsheetml/2006/main">
  <c r="E11" i="1" l="1"/>
  <c r="E32" i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van 16 lugares, nova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<sst xmlns="http://schemas.openxmlformats.org/spreadsheetml/2006/main" count="290" uniqueCount="193">
  <si>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</si>
  <si>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</si>
  <si>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</si>
  <si>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</si>
  <si>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</si>
  <si>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</si>
  <si>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</si>
  <si>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</si>
  <si>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</si>
  <si>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</si>
  <si>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</si>
  <si>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</si>
  <si>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</si>
  <si>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</si>
  <si>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</si>
  <si>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</si>
  <si>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</si>
  <si>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</si>
  <si>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</si>
  <si>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</si>
  <si>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</si>
  <si>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</si>
  <si>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</si>
  <si>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</si>
  <si>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</si>
  <si>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</si>
  <si>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</si>
  <si>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</si>
  <si>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</si>
  <si>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</si>
  <si>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</si>
  <si>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</si>
  <si>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</si>
  <si>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</si>
  <si>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</si>
  <si>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</si>
  <si>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</si>
  <si>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</si>
  <si>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</si>
  <si>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</si>
  <si>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</si>
  <si>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</si>
  <si>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</si>
  <si>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</si>
  <si>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</si>
  <si>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</si>
  <si>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</si>
  <si>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</si>
  <si>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</si>
  <si>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</si>
  <si>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</si>
  <si>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</si>
  <si>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</si>
  <si>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</si>
  <si>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</si>
  <si>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</si>
  <si>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</si>
  <si>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</si>
  <si>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</si>
  <si>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</si>
  <si>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</si>
  <si>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</si>
  <si>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</si>
  <si>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</si>
  <si>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</si>
  <si>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</si>
  <si>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</si>
  <si>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</si>
  <si>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</si>
  <si>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</si>
  <si>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</si>
  <si>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</si>
  <si>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</si>
  <si>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</si>
  <si>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</si>
  <si>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</si>
  <si>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</si>
  <si>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</si>
  <si>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</si>
  <si>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</si>
  <si>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</si>
  <si>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</si>
  <si>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</si>
  <si>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</si>
  <si>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</si>
  <si>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</si>
  <si>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</si>
  <si>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</si>
  <si>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</si>
  <si>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</si>
  <si>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</si>
  <si>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</si>
  <si>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</si>
  <si>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</si>
  <si>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</si>
  <si>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</si>
  <si>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</si>
  <si>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</si>
  <si>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</si>
  <si>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</si>
  <si>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</si>
  <si>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</si>
  <si>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</si>
  <si>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</si>
  <si>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</si>
  <si>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</si>
  <si>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</si>
  <si>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</si>
  <si>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</si>
  <si>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</si>
  <si>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</si>
  <si>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</si>
  <si>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</si>
  <si>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</si>
  <si>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</si>
  <si>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</si>
  <si>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</si>
  <si>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</si>
  <si>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</si>
  <si>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</si>
  <si>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</si>
  <si>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</si>
  <si>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</si>
  <si>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</si>
  <si>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</si>
  <si>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</si>
  <si>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</si>
  <si>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</si>
  <si>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</si>
  <si>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</si>
  <si>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</si>
  <si>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</si>
  <si>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</si>
  <si>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</si>
  <si>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</si>
  <si>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</si>
  <si>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</si>
  <si>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</si>
  <si>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</si>
  <si>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</si>
  <si>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</si>
  <si>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</si>
  <si>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</si>
  <si>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</si>
  <si>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</si>
  <si>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</si>
  <si>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</si>
  <si>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</si>
  <si>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</si>
  <si>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</si>
  <si>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</si>
  <si>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</si>
  <si>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</si>
  <si>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</si>
  <si>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</si>
  <si>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</si>
  <si>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</si>
  <si>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</si>
  <si>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</si>
  <si>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</si>
  <si>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</si>
  <si>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</si>
  <si>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</si>
  <si>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</si>
  <si>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</si>
  <si>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</si>
  <si>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</si>
  <si>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</si>
  <si>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</si>
  <si>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</si>
  <si>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</si>
  <si>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</si>
  <si>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</si>
  <si>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</si>
  <si>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</si>
  <si>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</si>
  <si>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</si>
  <si>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</si>
  <si>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</si>
  <si>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</si>
  <si>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</si>
  <si>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</si>
  <si>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</si>
  <si>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</si>
  <si>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</si>
  <si>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</si>
  <si>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</si>
  <si>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</si>
  <si>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DADOS DA CONTRATAÇÃO: LINHA 10</t>
  </si>
  <si>
    <t>-</t>
  </si>
  <si>
    <t>CERRO DOS ABREUS/VILSON</t>
  </si>
  <si>
    <t>VAN</t>
  </si>
  <si>
    <t>ITEM 1 - LINHA 10 - LINHA EMERGENCIAL ETINERARIO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</si>
</sst>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topLeftCell="A107" zoomScaleNormal="100" zoomScaleSheetLayoutView="100" workbookViewId="0">
      <selection activeCell="E41" sqref="E41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183" t="s">
        <v>172</v>
      </c>
      <c r="C2" s="183"/>
      <c r="D2" s="183"/>
      <c r="E2" s="183"/>
      <c r="F2" s="183"/>
      <c r="G2" s="183"/>
      <c r="H2" s="183"/>
      <c r="I2" s="121"/>
    </row>
    <row r="3" spans="2:9" x14ac:dyDescent="0.25">
      <c r="B3" s="223" t="s">
        <v>173</v>
      </c>
      <c r="C3" s="224"/>
      <c r="D3" s="224"/>
      <c r="E3" s="224"/>
      <c r="F3" s="224"/>
      <c r="G3" s="224"/>
      <c r="H3" s="22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194" t="s">
        <v>188</v>
      </c>
      <c r="C6" s="238"/>
      <c r="D6" s="46"/>
      <c r="E6" s="46"/>
      <c r="F6" s="46"/>
      <c r="G6" s="46"/>
      <c r="H6" s="46"/>
      <c r="I6" s="46"/>
    </row>
    <row r="8" spans="2:9" x14ac:dyDescent="0.25">
      <c r="B8" s="215" t="s">
        <v>4</v>
      </c>
      <c r="C8" s="215"/>
      <c r="D8" s="215"/>
      <c r="E8" s="215"/>
    </row>
    <row r="9" spans="2:9" x14ac:dyDescent="0.25">
      <c r="B9" s="216" t="s">
        <v>1</v>
      </c>
      <c r="C9" s="216"/>
      <c r="D9" s="216"/>
      <c r="E9" s="6">
        <v>86</v>
      </c>
    </row>
    <row r="10" spans="2:9" x14ac:dyDescent="0.25">
      <c r="B10" s="216" t="s">
        <v>2</v>
      </c>
      <c r="C10" s="216"/>
      <c r="D10" s="216"/>
      <c r="E10" s="7">
        <v>4</v>
      </c>
    </row>
    <row r="11" spans="2:9" x14ac:dyDescent="0.25">
      <c r="B11" s="216" t="s">
        <v>3</v>
      </c>
      <c r="C11" s="216"/>
      <c r="D11" s="216"/>
      <c r="E11" s="7">
        <f>E9/E10</f>
        <v>21.5</v>
      </c>
    </row>
    <row r="12" spans="2:9" x14ac:dyDescent="0.25">
      <c r="B12" s="8"/>
      <c r="C12" s="8"/>
      <c r="D12" s="8"/>
      <c r="E12" s="8"/>
    </row>
    <row r="13" spans="2:9" x14ac:dyDescent="0.25">
      <c r="B13" s="230" t="s">
        <v>6</v>
      </c>
      <c r="C13" s="230"/>
      <c r="D13" s="230"/>
      <c r="E13" s="230"/>
    </row>
    <row r="14" spans="2:9" x14ac:dyDescent="0.25">
      <c r="B14" s="234" t="s">
        <v>5</v>
      </c>
      <c r="C14" s="234"/>
      <c r="D14" s="235" t="s">
        <v>175</v>
      </c>
      <c r="E14" s="235"/>
    </row>
    <row r="15" spans="2:9" x14ac:dyDescent="0.25">
      <c r="B15" s="187" t="s">
        <v>187</v>
      </c>
      <c r="C15" s="187"/>
      <c r="D15" s="236">
        <v>16</v>
      </c>
      <c r="E15" s="236"/>
    </row>
    <row r="17" spans="2:9" ht="15.75" customHeight="1" x14ac:dyDescent="0.25">
      <c r="B17" s="225" t="s">
        <v>181</v>
      </c>
      <c r="C17" s="226"/>
      <c r="D17" s="1"/>
      <c r="E17" s="2"/>
    </row>
    <row r="18" spans="2:9" ht="15" customHeight="1" x14ac:dyDescent="0.25">
      <c r="B18" s="231" t="s">
        <v>192</v>
      </c>
      <c r="C18" s="232"/>
      <c r="D18" s="232"/>
      <c r="E18" s="232"/>
      <c r="F18" s="54"/>
      <c r="G18" s="54"/>
      <c r="H18" s="54"/>
      <c r="I18" s="54"/>
    </row>
    <row r="19" spans="2:9" ht="43.5" hidden="1" customHeight="1" x14ac:dyDescent="0.25">
      <c r="B19" s="233"/>
      <c r="C19" s="233"/>
      <c r="D19" s="233"/>
      <c r="E19" s="233"/>
      <c r="F19" s="54"/>
      <c r="G19" s="54"/>
      <c r="H19" s="54"/>
      <c r="I19" s="54"/>
    </row>
    <row r="20" spans="2:9" x14ac:dyDescent="0.25">
      <c r="B20" s="239" t="s">
        <v>190</v>
      </c>
      <c r="C20" s="240"/>
      <c r="D20" s="240"/>
      <c r="E20" s="240"/>
      <c r="F20" s="54"/>
      <c r="G20" s="54"/>
      <c r="H20" s="54"/>
      <c r="I20" s="54"/>
    </row>
    <row r="21" spans="2:9" x14ac:dyDescent="0.25">
      <c r="B21" s="237" t="s">
        <v>10</v>
      </c>
      <c r="C21" s="237"/>
      <c r="D21" s="237"/>
      <c r="E21" s="237"/>
      <c r="F21" s="54"/>
      <c r="G21" s="54" t="s">
        <v>189</v>
      </c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967.5</v>
      </c>
      <c r="D24" s="42">
        <f>D23*E11</f>
        <v>967.5</v>
      </c>
      <c r="E24" s="42">
        <f>C24+D24</f>
        <v>1935</v>
      </c>
    </row>
    <row r="25" spans="2:9" x14ac:dyDescent="0.25">
      <c r="B25" s="12" t="s">
        <v>55</v>
      </c>
      <c r="C25" s="93">
        <f>C23*E9</f>
        <v>3870</v>
      </c>
      <c r="D25" s="42">
        <f>D23*E9</f>
        <v>3870</v>
      </c>
      <c r="E25" s="42">
        <f>C25+D25</f>
        <v>7740</v>
      </c>
    </row>
    <row r="26" spans="2:9" x14ac:dyDescent="0.25">
      <c r="B26" s="9"/>
      <c r="C26" s="9"/>
      <c r="D26" s="10"/>
      <c r="E26" s="10"/>
    </row>
    <row r="27" spans="2:9" x14ac:dyDescent="0.25">
      <c r="B27" s="230" t="s">
        <v>11</v>
      </c>
      <c r="C27" s="230"/>
      <c r="D27" s="230"/>
      <c r="E27" s="230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227" t="s">
        <v>9</v>
      </c>
      <c r="C33" s="228"/>
      <c r="D33" s="229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17" t="s">
        <v>18</v>
      </c>
      <c r="C43" s="218"/>
      <c r="D43" s="218"/>
      <c r="E43" s="218"/>
      <c r="F43" s="218"/>
      <c r="G43" s="21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194" t="s">
        <v>26</v>
      </c>
      <c r="C51" s="194"/>
      <c r="D51" s="194"/>
      <c r="E51" s="194"/>
      <c r="F51" s="194"/>
      <c r="G51" s="194"/>
      <c r="H51" s="194"/>
      <c r="I51" s="194"/>
    </row>
    <row r="52" spans="2:10" x14ac:dyDescent="0.25">
      <c r="B52" s="221" t="s">
        <v>19</v>
      </c>
      <c r="C52" s="16" t="s">
        <v>13</v>
      </c>
      <c r="D52" s="16" t="s">
        <v>14</v>
      </c>
      <c r="E52" s="16"/>
    </row>
    <row r="53" spans="2:10" x14ac:dyDescent="0.25">
      <c r="B53" s="222"/>
      <c r="C53" s="22">
        <f>(C45+C46+C47+C48)*E11</f>
        <v>64.499999999999972</v>
      </c>
      <c r="D53" s="22">
        <f>(D45+D46+D47+D48)*E11</f>
        <v>0</v>
      </c>
      <c r="E53" s="23">
        <f>C53+D53</f>
        <v>64.499999999999972</v>
      </c>
    </row>
    <row r="54" spans="2:10" x14ac:dyDescent="0.25">
      <c r="B54" s="188" t="s">
        <v>168</v>
      </c>
      <c r="C54" s="211"/>
      <c r="D54" s="212"/>
      <c r="E54" s="23">
        <f>((6*5)+(1*4))*5</f>
        <v>170</v>
      </c>
      <c r="F54" s="53"/>
      <c r="I54" s="116"/>
      <c r="J54" s="5"/>
    </row>
    <row r="55" spans="2:10" x14ac:dyDescent="0.25">
      <c r="B55" s="188" t="s">
        <v>169</v>
      </c>
      <c r="C55" s="211"/>
      <c r="D55" s="212"/>
      <c r="E55" s="23">
        <f>((8*5)+(1*4))*5</f>
        <v>220</v>
      </c>
      <c r="F55" s="52"/>
      <c r="I55" s="117"/>
      <c r="J55" s="5"/>
    </row>
    <row r="56" spans="2:10" x14ac:dyDescent="0.25">
      <c r="B56" s="188" t="s">
        <v>21</v>
      </c>
      <c r="C56" s="211"/>
      <c r="D56" s="212"/>
      <c r="E56" s="24">
        <v>1</v>
      </c>
      <c r="F56" s="219"/>
      <c r="G56" s="220"/>
      <c r="H56" s="51"/>
      <c r="I56" s="46"/>
      <c r="J56" s="46"/>
    </row>
    <row r="57" spans="2:10" x14ac:dyDescent="0.25">
      <c r="B57" s="188" t="s">
        <v>25</v>
      </c>
      <c r="C57" s="211"/>
      <c r="D57" s="212"/>
      <c r="E57" s="23">
        <f>(E54*E56)/E55</f>
        <v>0.77272727272727271</v>
      </c>
      <c r="I57" s="5"/>
      <c r="J57" s="5"/>
    </row>
    <row r="58" spans="2:10" x14ac:dyDescent="0.25">
      <c r="B58" s="188" t="s">
        <v>20</v>
      </c>
      <c r="C58" s="211"/>
      <c r="D58" s="212"/>
      <c r="E58" s="23">
        <f>(C53*E56)/E55</f>
        <v>0.29318181818181804</v>
      </c>
      <c r="I58" s="115"/>
      <c r="J58" s="5"/>
    </row>
    <row r="59" spans="2:10" x14ac:dyDescent="0.25">
      <c r="B59" s="188" t="s">
        <v>22</v>
      </c>
      <c r="C59" s="211"/>
      <c r="D59" s="212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189"/>
      <c r="D60" s="190"/>
      <c r="E60" s="27">
        <f>SUM(E58:E59)</f>
        <v>0.29318181818181804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14" t="s">
        <v>27</v>
      </c>
      <c r="C63" s="214"/>
      <c r="D63" s="214"/>
      <c r="E63" s="214"/>
    </row>
    <row r="64" spans="2:10" x14ac:dyDescent="0.25">
      <c r="B64" s="187" t="s">
        <v>28</v>
      </c>
      <c r="C64" s="187"/>
      <c r="D64" s="187"/>
      <c r="E64" s="24" t="s">
        <v>191</v>
      </c>
    </row>
    <row r="65" spans="2:9" x14ac:dyDescent="0.25">
      <c r="B65" s="188" t="s">
        <v>29</v>
      </c>
      <c r="C65" s="211"/>
      <c r="D65" s="212"/>
      <c r="E65" s="24">
        <v>16</v>
      </c>
    </row>
    <row r="66" spans="2:9" x14ac:dyDescent="0.25">
      <c r="B66" s="188" t="s">
        <v>30</v>
      </c>
      <c r="C66" s="211"/>
      <c r="D66" s="212"/>
      <c r="E66" s="24" t="s">
        <v>182</v>
      </c>
    </row>
    <row r="67" spans="2:9" x14ac:dyDescent="0.25">
      <c r="B67" s="188" t="s">
        <v>31</v>
      </c>
      <c r="C67" s="211"/>
      <c r="D67" s="212"/>
      <c r="E67" s="24">
        <v>2024</v>
      </c>
    </row>
    <row r="68" spans="2:9" x14ac:dyDescent="0.25">
      <c r="B68" s="31" t="s">
        <v>32</v>
      </c>
      <c r="C68" s="32"/>
      <c r="D68" s="33"/>
      <c r="E68" s="24">
        <v>3.3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189"/>
      <c r="D70" s="189"/>
      <c r="E70" s="190"/>
    </row>
    <row r="71" spans="2:9" x14ac:dyDescent="0.25">
      <c r="B71" s="12" t="s">
        <v>35</v>
      </c>
      <c r="C71" s="34"/>
      <c r="D71" s="35">
        <v>1</v>
      </c>
      <c r="E71" s="36">
        <v>285000</v>
      </c>
    </row>
    <row r="72" spans="2:9" x14ac:dyDescent="0.25">
      <c r="B72" s="188" t="s">
        <v>36</v>
      </c>
      <c r="C72" s="211"/>
      <c r="D72" s="35">
        <v>1</v>
      </c>
      <c r="E72" s="23">
        <v>100</v>
      </c>
    </row>
    <row r="73" spans="2:9" x14ac:dyDescent="0.25">
      <c r="B73" s="188" t="s">
        <v>37</v>
      </c>
      <c r="C73" s="211"/>
      <c r="D73" s="35">
        <v>1</v>
      </c>
      <c r="E73" s="23" t="s">
        <v>44</v>
      </c>
    </row>
    <row r="74" spans="2:9" x14ac:dyDescent="0.25">
      <c r="B74" s="188" t="s">
        <v>38</v>
      </c>
      <c r="C74" s="211"/>
      <c r="D74" s="35">
        <v>1</v>
      </c>
      <c r="E74" s="23">
        <v>0</v>
      </c>
    </row>
    <row r="75" spans="2:9" x14ac:dyDescent="0.25">
      <c r="B75" s="207" t="s">
        <v>39</v>
      </c>
      <c r="C75" s="207"/>
      <c r="D75" s="35">
        <v>2</v>
      </c>
      <c r="E75" s="24">
        <v>250</v>
      </c>
    </row>
    <row r="76" spans="2:9" x14ac:dyDescent="0.25">
      <c r="B76" s="208" t="s">
        <v>40</v>
      </c>
      <c r="C76" s="209"/>
      <c r="D76" s="35">
        <v>1</v>
      </c>
      <c r="E76" s="23">
        <v>469</v>
      </c>
    </row>
    <row r="77" spans="2:9" x14ac:dyDescent="0.25">
      <c r="B77" s="205" t="s">
        <v>30</v>
      </c>
      <c r="C77" s="206"/>
      <c r="D77" s="35">
        <v>1</v>
      </c>
      <c r="E77" s="29">
        <v>6.1</v>
      </c>
    </row>
    <row r="78" spans="2:9" x14ac:dyDescent="0.25">
      <c r="B78" s="210" t="s">
        <v>160</v>
      </c>
      <c r="C78" s="210"/>
      <c r="D78" s="44">
        <v>0.15</v>
      </c>
      <c r="E78" s="36">
        <f>((E71-E81)*D78)/12</f>
        <v>2850</v>
      </c>
      <c r="I78" s="51"/>
    </row>
    <row r="79" spans="2:9" x14ac:dyDescent="0.25">
      <c r="B79" s="210" t="s">
        <v>161</v>
      </c>
      <c r="C79" s="210"/>
      <c r="D79" s="44">
        <v>0.12</v>
      </c>
      <c r="E79" s="36">
        <f>(((E71-E81)-E78)*D79)/12</f>
        <v>2251.5</v>
      </c>
      <c r="I79" s="51"/>
    </row>
    <row r="80" spans="2:9" x14ac:dyDescent="0.25">
      <c r="B80" s="205" t="s">
        <v>45</v>
      </c>
      <c r="C80" s="206"/>
      <c r="D80" s="44">
        <v>0.1</v>
      </c>
      <c r="E80" s="36">
        <v>20</v>
      </c>
    </row>
    <row r="81" spans="2:5" x14ac:dyDescent="0.25">
      <c r="B81" s="210" t="s">
        <v>41</v>
      </c>
      <c r="C81" s="210"/>
      <c r="D81" s="44">
        <v>0.2</v>
      </c>
      <c r="E81" s="36">
        <f>E71*D81</f>
        <v>57000</v>
      </c>
    </row>
    <row r="82" spans="2:5" x14ac:dyDescent="0.25">
      <c r="B82" s="31" t="s">
        <v>68</v>
      </c>
      <c r="C82" s="32"/>
      <c r="D82" s="35" t="s">
        <v>55</v>
      </c>
      <c r="E82" s="37">
        <v>1500</v>
      </c>
    </row>
    <row r="83" spans="2:5" x14ac:dyDescent="0.25">
      <c r="B83" s="9"/>
      <c r="C83" s="9"/>
      <c r="D83" s="9"/>
      <c r="E83" s="59"/>
    </row>
    <row r="84" spans="2:5" x14ac:dyDescent="0.25">
      <c r="B84" s="194" t="s">
        <v>33</v>
      </c>
      <c r="C84" s="194"/>
      <c r="D84" s="194"/>
      <c r="E84" s="194"/>
    </row>
    <row r="85" spans="2:5" x14ac:dyDescent="0.25">
      <c r="B85" s="199" t="s">
        <v>34</v>
      </c>
      <c r="C85" s="200"/>
      <c r="D85" s="200"/>
      <c r="E85" s="201"/>
    </row>
    <row r="86" spans="2:5" x14ac:dyDescent="0.25">
      <c r="B86" s="202" t="s">
        <v>47</v>
      </c>
      <c r="C86" s="203"/>
      <c r="D86" s="204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194" t="s">
        <v>46</v>
      </c>
      <c r="C88" s="194"/>
      <c r="D88" s="194"/>
      <c r="E88" s="194"/>
    </row>
    <row r="89" spans="2:5" x14ac:dyDescent="0.25">
      <c r="B89" s="199" t="s">
        <v>34</v>
      </c>
      <c r="C89" s="200"/>
      <c r="D89" s="200"/>
      <c r="E89" s="201"/>
    </row>
    <row r="90" spans="2:5" x14ac:dyDescent="0.25">
      <c r="B90" s="202" t="s">
        <v>47</v>
      </c>
      <c r="C90" s="203"/>
      <c r="D90" s="204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193" t="s">
        <v>50</v>
      </c>
      <c r="C92" s="193"/>
      <c r="D92" s="193"/>
      <c r="E92" s="193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850</v>
      </c>
    </row>
    <row r="96" spans="2:5" x14ac:dyDescent="0.25">
      <c r="B96" s="17"/>
      <c r="C96" s="17">
        <f>C94+C95</f>
        <v>6</v>
      </c>
      <c r="D96" s="182">
        <f>D94+D95</f>
        <v>60000</v>
      </c>
      <c r="E96" s="180">
        <f>E94+E95</f>
        <v>2599.9</v>
      </c>
    </row>
    <row r="97" spans="2:5" x14ac:dyDescent="0.25">
      <c r="D97" s="5"/>
      <c r="E97" s="21"/>
    </row>
    <row r="98" spans="2:5" s="46" customFormat="1" x14ac:dyDescent="0.25">
      <c r="B98" s="194" t="s">
        <v>56</v>
      </c>
      <c r="C98" s="194"/>
      <c r="D98" s="194"/>
      <c r="E98" s="194"/>
    </row>
    <row r="99" spans="2:5" x14ac:dyDescent="0.25">
      <c r="B99" s="195" t="s">
        <v>57</v>
      </c>
      <c r="C99" s="195"/>
      <c r="D99" s="196" t="s">
        <v>184</v>
      </c>
      <c r="E99" s="196"/>
    </row>
    <row r="100" spans="2:5" x14ac:dyDescent="0.25">
      <c r="B100" s="62" t="s">
        <v>58</v>
      </c>
      <c r="C100" s="62"/>
      <c r="D100" s="197" t="s">
        <v>185</v>
      </c>
      <c r="E100" s="197"/>
    </row>
    <row r="101" spans="2:5" x14ac:dyDescent="0.25">
      <c r="B101" s="198" t="s">
        <v>59</v>
      </c>
      <c r="C101" s="198"/>
      <c r="D101" s="5"/>
      <c r="E101" s="21"/>
    </row>
    <row r="102" spans="2:5" x14ac:dyDescent="0.25">
      <c r="B102" s="202" t="s">
        <v>60</v>
      </c>
      <c r="C102" s="203"/>
      <c r="D102" s="204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191" t="s">
        <v>62</v>
      </c>
      <c r="C104" s="191"/>
      <c r="D104" s="48">
        <v>30</v>
      </c>
      <c r="E104" s="50">
        <v>0.2</v>
      </c>
    </row>
    <row r="105" spans="2:5" x14ac:dyDescent="0.25">
      <c r="B105" s="191" t="s">
        <v>61</v>
      </c>
      <c r="C105" s="191"/>
      <c r="D105" s="17">
        <v>0</v>
      </c>
      <c r="E105" s="50">
        <v>0</v>
      </c>
    </row>
    <row r="106" spans="2:5" x14ac:dyDescent="0.25">
      <c r="B106" s="191" t="s">
        <v>64</v>
      </c>
      <c r="C106" s="191"/>
      <c r="D106" s="17">
        <v>140</v>
      </c>
      <c r="E106" s="50">
        <v>0.2</v>
      </c>
    </row>
    <row r="107" spans="2:5" x14ac:dyDescent="0.25">
      <c r="B107" s="191" t="s">
        <v>65</v>
      </c>
      <c r="C107" s="191"/>
      <c r="D107" s="48">
        <v>0</v>
      </c>
      <c r="E107" s="20"/>
    </row>
    <row r="108" spans="2:5" x14ac:dyDescent="0.25">
      <c r="B108" s="191" t="s">
        <v>66</v>
      </c>
      <c r="C108" s="191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192" t="s">
        <v>67</v>
      </c>
      <c r="C111" s="192"/>
      <c r="D111" s="192"/>
      <c r="E111" s="192"/>
    </row>
    <row r="112" spans="2:5" x14ac:dyDescent="0.25">
      <c r="B112" s="184"/>
      <c r="C112" s="185"/>
      <c r="D112" s="186"/>
      <c r="E112" s="11" t="s">
        <v>70</v>
      </c>
    </row>
    <row r="113" spans="2:5" x14ac:dyDescent="0.25">
      <c r="B113" s="187" t="s">
        <v>179</v>
      </c>
      <c r="C113" s="187"/>
      <c r="D113" s="187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8" t="s">
        <v>71</v>
      </c>
      <c r="C116" s="189"/>
      <c r="D116" s="190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E2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66:D66"/>
    <mergeCell ref="B67:D67"/>
    <mergeCell ref="B72:C72"/>
    <mergeCell ref="B73:C73"/>
    <mergeCell ref="B74:C74"/>
    <mergeCell ref="B70:E70"/>
    <mergeCell ref="B80:C80"/>
    <mergeCell ref="B84:E84"/>
    <mergeCell ref="B75:C75"/>
    <mergeCell ref="B76:C76"/>
    <mergeCell ref="B77:C77"/>
    <mergeCell ref="B78:C78"/>
    <mergeCell ref="B79:C79"/>
    <mergeCell ref="B81:C81"/>
    <mergeCell ref="B85:E85"/>
    <mergeCell ref="B102:D102"/>
    <mergeCell ref="B88:E88"/>
    <mergeCell ref="B86:D86"/>
    <mergeCell ref="B90:D90"/>
    <mergeCell ref="B89:E89"/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topLeftCell="A52" zoomScaleNormal="100" zoomScaleSheetLayoutView="100" workbookViewId="0">
      <selection activeCell="H4" sqref="H4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241" t="s">
        <v>164</v>
      </c>
      <c r="E2" s="241"/>
      <c r="F2" s="241"/>
      <c r="G2" s="24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68" t="s">
        <v>72</v>
      </c>
      <c r="C3" s="268"/>
      <c r="D3" s="268"/>
      <c r="E3" s="268"/>
      <c r="F3" s="268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315" t="s">
        <v>60</v>
      </c>
      <c r="C4" s="316"/>
      <c r="D4" s="316"/>
      <c r="E4" s="317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312"/>
      <c r="C5" s="313"/>
      <c r="D5" s="313"/>
      <c r="E5" s="314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318" t="s">
        <v>74</v>
      </c>
      <c r="C6" s="319"/>
      <c r="D6" s="319"/>
      <c r="E6" s="320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68" t="s">
        <v>75</v>
      </c>
      <c r="C8" s="268"/>
      <c r="D8" s="268"/>
      <c r="E8" s="268"/>
      <c r="F8" s="268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311" t="s">
        <v>76</v>
      </c>
      <c r="C9" s="311"/>
      <c r="D9" s="311"/>
      <c r="E9" s="311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311" t="s">
        <v>77</v>
      </c>
      <c r="C11" s="311"/>
      <c r="D11" s="311"/>
      <c r="E11" s="311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311" t="s">
        <v>78</v>
      </c>
      <c r="C12" s="311"/>
      <c r="D12" s="311"/>
      <c r="E12" s="311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311" t="s">
        <v>79</v>
      </c>
      <c r="C13" s="311"/>
      <c r="D13" s="311"/>
      <c r="E13" s="311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311" t="s">
        <v>80</v>
      </c>
      <c r="C14" s="311"/>
      <c r="D14" s="311"/>
      <c r="E14" s="311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5" t="s">
        <v>83</v>
      </c>
      <c r="C18" s="255"/>
      <c r="D18" s="255"/>
      <c r="E18" s="255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68" t="s">
        <v>85</v>
      </c>
      <c r="C21" s="268"/>
      <c r="D21" s="268"/>
      <c r="E21" s="268"/>
      <c r="F21" s="268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48" t="s">
        <v>86</v>
      </c>
      <c r="C22" s="248"/>
      <c r="D22" s="248"/>
      <c r="E22" s="248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85"/>
      <c r="C24" s="285"/>
      <c r="D24" s="285"/>
      <c r="E24" s="285"/>
      <c r="F24" s="285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68" t="s">
        <v>93</v>
      </c>
      <c r="C25" s="268"/>
      <c r="D25" s="268"/>
      <c r="E25" s="268"/>
      <c r="F25" s="268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309" t="s">
        <v>113</v>
      </c>
      <c r="C26" s="287"/>
      <c r="D26" s="287"/>
      <c r="E26" s="287"/>
      <c r="F26" s="288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86" t="s">
        <v>97</v>
      </c>
      <c r="C27" s="287"/>
      <c r="D27" s="287"/>
      <c r="E27" s="287"/>
      <c r="F27" s="288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310"/>
      <c r="S28" s="310"/>
      <c r="T28" s="310"/>
      <c r="U28"/>
      <c r="V28"/>
      <c r="W28"/>
      <c r="X28"/>
    </row>
    <row r="29" spans="2:24" x14ac:dyDescent="0.25">
      <c r="B29" s="268" t="s">
        <v>94</v>
      </c>
      <c r="C29" s="268"/>
      <c r="D29" s="268"/>
      <c r="E29" s="268"/>
      <c r="F29" s="268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75" t="s">
        <v>88</v>
      </c>
      <c r="C30" s="276"/>
      <c r="D30" s="277"/>
      <c r="E30" s="269">
        <v>0.2</v>
      </c>
      <c r="F30" s="270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45" t="s">
        <v>89</v>
      </c>
      <c r="C31" s="246"/>
      <c r="D31" s="247"/>
      <c r="E31" s="271">
        <v>0.03</v>
      </c>
      <c r="F31" s="272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45" t="s">
        <v>90</v>
      </c>
      <c r="C32" s="246"/>
      <c r="D32" s="247"/>
      <c r="E32" s="273">
        <v>2.5000000000000001E-2</v>
      </c>
      <c r="F32" s="274"/>
      <c r="G32" s="129">
        <v>0</v>
      </c>
      <c r="H32" s="131"/>
      <c r="I32">
        <v>0</v>
      </c>
      <c r="J32" s="129">
        <v>0</v>
      </c>
      <c r="K32"/>
      <c r="L32"/>
      <c r="M32" s="250"/>
      <c r="N32" s="250"/>
      <c r="O32" s="250"/>
      <c r="P32" s="250"/>
      <c r="Q32" s="250"/>
      <c r="R32" s="250"/>
      <c r="S32" s="250"/>
      <c r="T32" s="250"/>
      <c r="U32"/>
      <c r="V32"/>
      <c r="W32"/>
      <c r="X32"/>
    </row>
    <row r="33" spans="2:24" x14ac:dyDescent="0.25">
      <c r="B33" s="245" t="s">
        <v>174</v>
      </c>
      <c r="C33" s="246"/>
      <c r="D33" s="247"/>
      <c r="E33" s="273">
        <v>3.3000000000000002E-2</v>
      </c>
      <c r="F33" s="27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50"/>
      <c r="N33" s="250"/>
      <c r="O33" s="250"/>
      <c r="P33" s="250"/>
      <c r="Q33" s="250"/>
      <c r="R33" s="250"/>
      <c r="S33" s="250"/>
      <c r="T33" s="250"/>
      <c r="U33"/>
      <c r="V33"/>
      <c r="W33"/>
      <c r="X33"/>
    </row>
    <row r="34" spans="2:24" x14ac:dyDescent="0.25">
      <c r="B34" s="245" t="s">
        <v>91</v>
      </c>
      <c r="C34" s="246"/>
      <c r="D34" s="247"/>
      <c r="E34" s="273">
        <v>0.08</v>
      </c>
      <c r="F34" s="27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0" t="s">
        <v>92</v>
      </c>
      <c r="C35" s="280"/>
      <c r="D35" s="280"/>
      <c r="E35" s="281">
        <f>SUM(E30:E34)</f>
        <v>0.36800000000000005</v>
      </c>
      <c r="F35" s="282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3" t="s">
        <v>95</v>
      </c>
      <c r="C36" s="283"/>
      <c r="D36" s="283"/>
      <c r="E36" s="283"/>
      <c r="F36" s="284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40" t="s">
        <v>96</v>
      </c>
      <c r="C37" s="240"/>
      <c r="D37" s="240"/>
      <c r="E37" s="240"/>
      <c r="F37" s="240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68" t="s">
        <v>103</v>
      </c>
      <c r="C39" s="268"/>
      <c r="D39" s="268"/>
      <c r="E39" s="268"/>
      <c r="F39" s="268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261">
        <f>G6+G22+O25</f>
        <v>2545.1508333333331</v>
      </c>
      <c r="R39" s="291"/>
      <c r="S39" s="291"/>
      <c r="T39" s="259"/>
      <c r="U39" s="289"/>
      <c r="V39" s="289"/>
      <c r="W39" s="289"/>
      <c r="X39" s="289"/>
    </row>
    <row r="40" spans="2:24" x14ac:dyDescent="0.25">
      <c r="B40" s="255" t="s">
        <v>98</v>
      </c>
      <c r="C40" s="255"/>
      <c r="D40" s="255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262"/>
      <c r="R40" s="291"/>
      <c r="S40" s="291"/>
      <c r="T40" s="292"/>
      <c r="U40" s="290"/>
      <c r="V40" s="290"/>
      <c r="W40" s="290"/>
      <c r="X40" s="290"/>
    </row>
    <row r="41" spans="2:24" x14ac:dyDescent="0.25">
      <c r="B41" s="255" t="s">
        <v>99</v>
      </c>
      <c r="C41" s="255"/>
      <c r="D41" s="255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265"/>
      <c r="N41" s="266"/>
      <c r="O41" s="267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5" t="s">
        <v>100</v>
      </c>
      <c r="C42" s="255"/>
      <c r="D42" s="255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261" t="s">
        <v>115</v>
      </c>
      <c r="N42" s="261" t="s">
        <v>116</v>
      </c>
      <c r="O42" s="261" t="s">
        <v>117</v>
      </c>
      <c r="P42" s="263" t="s">
        <v>123</v>
      </c>
      <c r="Q42" s="263" t="s">
        <v>119</v>
      </c>
      <c r="R42" s="259" t="s">
        <v>120</v>
      </c>
      <c r="S42" s="259" t="s">
        <v>121</v>
      </c>
      <c r="T42" s="259" t="s">
        <v>122</v>
      </c>
      <c r="U42" s="146"/>
      <c r="V42" s="146"/>
      <c r="W42" s="146"/>
      <c r="X42" s="146"/>
    </row>
    <row r="43" spans="2:24" ht="22.5" customHeight="1" x14ac:dyDescent="0.25">
      <c r="B43" s="255" t="s">
        <v>101</v>
      </c>
      <c r="C43" s="255"/>
      <c r="D43" s="255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262"/>
      <c r="N43" s="262"/>
      <c r="O43" s="262"/>
      <c r="P43" s="264"/>
      <c r="Q43" s="264"/>
      <c r="R43" s="259"/>
      <c r="S43" s="259"/>
      <c r="T43" s="259"/>
      <c r="U43"/>
      <c r="V43"/>
      <c r="W43"/>
      <c r="X43"/>
    </row>
    <row r="44" spans="2:24" ht="21" customHeight="1" x14ac:dyDescent="0.25">
      <c r="B44" s="256" t="s">
        <v>108</v>
      </c>
      <c r="C44" s="256"/>
      <c r="D44" s="256"/>
      <c r="E44" s="256"/>
      <c r="F44" s="256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5" t="s">
        <v>102</v>
      </c>
      <c r="C45" s="255"/>
      <c r="D45" s="255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260" t="s">
        <v>114</v>
      </c>
      <c r="R45" s="260"/>
      <c r="S45" s="260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260"/>
      <c r="R46" s="260"/>
      <c r="S46" s="260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258" t="s">
        <v>106</v>
      </c>
      <c r="C48" s="258"/>
      <c r="D48" s="258"/>
      <c r="E48" s="258"/>
      <c r="F48" s="258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96" t="s">
        <v>136</v>
      </c>
      <c r="C49" s="297"/>
      <c r="D49" s="297"/>
      <c r="E49" s="297"/>
      <c r="F49" s="298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249" t="s">
        <v>105</v>
      </c>
      <c r="C50" s="250"/>
      <c r="D50" s="250"/>
      <c r="E50" s="250"/>
      <c r="F50" s="251"/>
      <c r="G50" s="299">
        <f>G10*2.53%</f>
        <v>0.60719999999999996</v>
      </c>
      <c r="H50"/>
      <c r="I50"/>
      <c r="J50" s="299">
        <f>J10*2.53%</f>
        <v>0.60719999999999996</v>
      </c>
      <c r="K50"/>
      <c r="L50"/>
      <c r="M50" s="250" t="s">
        <v>129</v>
      </c>
      <c r="N50" s="250"/>
      <c r="O50" s="250"/>
      <c r="P50" s="250"/>
      <c r="Q50" s="250"/>
      <c r="R50" s="250"/>
      <c r="S50" s="250"/>
      <c r="T50" s="155"/>
      <c r="U50" s="155"/>
      <c r="V50" s="155"/>
      <c r="W50" s="155"/>
      <c r="X50" s="155"/>
    </row>
    <row r="51" spans="2:24" ht="28.5" customHeight="1" x14ac:dyDescent="0.25">
      <c r="B51" s="252"/>
      <c r="C51" s="253"/>
      <c r="D51" s="253"/>
      <c r="E51" s="253"/>
      <c r="F51" s="254"/>
      <c r="G51" s="300"/>
      <c r="H51"/>
      <c r="I51"/>
      <c r="J51" s="300"/>
      <c r="K51"/>
      <c r="L51"/>
      <c r="M51" s="250"/>
      <c r="N51" s="250"/>
      <c r="O51" s="250"/>
      <c r="P51" s="250"/>
      <c r="Q51" s="250"/>
      <c r="R51" s="250"/>
      <c r="S51" s="250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304" t="s">
        <v>170</v>
      </c>
      <c r="N52" s="304"/>
      <c r="O52" s="304"/>
      <c r="P52" s="304"/>
      <c r="Q52" s="304"/>
      <c r="R52" s="304"/>
      <c r="S52" s="304"/>
      <c r="T52" s="304"/>
      <c r="U52" s="155"/>
      <c r="V52" s="155"/>
      <c r="W52" s="155"/>
      <c r="X52" s="155"/>
    </row>
    <row r="53" spans="2:24" x14ac:dyDescent="0.25">
      <c r="B53" s="238" t="s">
        <v>109</v>
      </c>
      <c r="C53" s="238"/>
      <c r="D53" s="238"/>
      <c r="E53" s="238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305" t="s">
        <v>107</v>
      </c>
      <c r="C54" s="305"/>
      <c r="D54" s="305"/>
      <c r="E54" s="305"/>
      <c r="F54" s="305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301" t="s">
        <v>130</v>
      </c>
      <c r="N54" s="302"/>
      <c r="O54" s="302"/>
      <c r="P54" s="303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306" t="s">
        <v>110</v>
      </c>
      <c r="C56" s="307"/>
      <c r="D56" s="307"/>
      <c r="E56" s="307"/>
      <c r="F56" s="308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5" t="s">
        <v>72</v>
      </c>
      <c r="C57" s="255"/>
      <c r="D57" s="255"/>
      <c r="E57" s="255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48" t="s">
        <v>75</v>
      </c>
      <c r="C58" s="248"/>
      <c r="D58" s="248"/>
      <c r="E58" s="248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48" t="s">
        <v>82</v>
      </c>
      <c r="C59" s="248"/>
      <c r="D59" s="248"/>
      <c r="E59" s="248"/>
      <c r="F59" s="124"/>
      <c r="G59" s="129">
        <v>0</v>
      </c>
      <c r="H59"/>
      <c r="I59"/>
      <c r="J59" s="129">
        <v>0</v>
      </c>
      <c r="K59"/>
      <c r="L59"/>
      <c r="M59" s="293" t="s">
        <v>102</v>
      </c>
      <c r="N59" s="294"/>
      <c r="O59" s="295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48" t="s">
        <v>85</v>
      </c>
      <c r="C60" s="248"/>
      <c r="D60" s="248"/>
      <c r="E60" s="248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45" t="s">
        <v>93</v>
      </c>
      <c r="C61" s="246"/>
      <c r="D61" s="246"/>
      <c r="E61" s="24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48" t="s">
        <v>94</v>
      </c>
      <c r="C62" s="248"/>
      <c r="D62" s="248"/>
      <c r="E62" s="248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48" t="s">
        <v>103</v>
      </c>
      <c r="C63" s="248"/>
      <c r="D63" s="248"/>
      <c r="E63" s="248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48" t="s">
        <v>112</v>
      </c>
      <c r="C64" s="248"/>
      <c r="D64" s="248"/>
      <c r="E64" s="248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242" t="s">
        <v>111</v>
      </c>
      <c r="C65" s="243"/>
      <c r="D65" s="243"/>
      <c r="E65" s="243"/>
      <c r="F65" s="24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1130.7695681193743</v>
      </c>
      <c r="H67"/>
      <c r="I67"/>
      <c r="J67" s="55">
        <f>J65*Dados!E58</f>
        <v>1127.4300788798289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1130.7695681193743</v>
      </c>
      <c r="H68"/>
      <c r="I68"/>
      <c r="J68" s="55">
        <f>J65*Dados!E60</f>
        <v>1127.4300788798289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31" zoomScaleNormal="100" workbookViewId="0">
      <selection activeCell="I50" sqref="I50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21" t="str">
        <f>Dados!B2</f>
        <v>MUNICÍPIO DE BARÃO DO TRIUNFO</v>
      </c>
      <c r="C2" s="321"/>
      <c r="D2" s="321"/>
      <c r="E2" s="321"/>
      <c r="F2" s="321"/>
      <c r="G2" s="321"/>
    </row>
    <row r="3" spans="2:13" x14ac:dyDescent="0.25">
      <c r="B3" s="326" t="s">
        <v>167</v>
      </c>
      <c r="C3" s="326"/>
      <c r="D3" s="326"/>
      <c r="E3" s="326"/>
      <c r="F3" s="326"/>
      <c r="G3" s="326"/>
    </row>
    <row r="4" spans="2:13" x14ac:dyDescent="0.25">
      <c r="B4" s="321" t="str">
        <f>Dados!C4</f>
        <v>Transporte escolar</v>
      </c>
      <c r="C4" s="321"/>
      <c r="D4" s="321"/>
      <c r="E4" s="321"/>
      <c r="F4" s="321"/>
      <c r="G4" s="32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25" t="str">
        <f>Dados!B18</f>
        <v>ITEM 1 - LINHA 10 - LINHA EMERGENCIAL ETINERARIO MUNICIPAL</v>
      </c>
      <c r="C7" s="325"/>
      <c r="D7" s="325"/>
      <c r="E7" s="325"/>
      <c r="F7" s="325"/>
      <c r="G7" s="325"/>
    </row>
    <row r="8" spans="2:13" ht="30.75" customHeight="1" x14ac:dyDescent="0.25">
      <c r="B8" s="325"/>
      <c r="C8" s="325"/>
      <c r="D8" s="325"/>
      <c r="E8" s="325"/>
      <c r="F8" s="325"/>
      <c r="G8" s="325"/>
    </row>
    <row r="9" spans="2:13" ht="15.75" customHeight="1" x14ac:dyDescent="0.25">
      <c r="B9" s="322" t="s">
        <v>162</v>
      </c>
      <c r="C9" s="323"/>
      <c r="D9" s="323"/>
      <c r="E9" s="323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4" t="s">
        <v>140</v>
      </c>
      <c r="C11" s="324"/>
      <c r="D11" s="324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35" t="s">
        <v>141</v>
      </c>
      <c r="C12" s="335"/>
      <c r="D12" s="335"/>
      <c r="E12" s="95">
        <f>(Dados!E78*Dados!E58)</f>
        <v>835.56818181818142</v>
      </c>
      <c r="F12" s="100"/>
      <c r="G12" s="98"/>
      <c r="H12" s="95">
        <f t="shared" ref="H12:H17" si="0">E12</f>
        <v>835.56818181818142</v>
      </c>
      <c r="I12" s="100"/>
      <c r="K12" s="96">
        <f t="shared" ref="K12:K17" si="1">E12</f>
        <v>835.56818181818142</v>
      </c>
      <c r="M12" s="51"/>
    </row>
    <row r="13" spans="2:13" x14ac:dyDescent="0.25">
      <c r="B13" s="335" t="s">
        <v>142</v>
      </c>
      <c r="C13" s="335"/>
      <c r="D13" s="335"/>
      <c r="E13" s="95">
        <f>Dados!E79*Dados!E58</f>
        <v>660.09886363636338</v>
      </c>
      <c r="F13" s="100"/>
      <c r="G13" s="98"/>
      <c r="H13" s="95">
        <f t="shared" si="0"/>
        <v>660.09886363636338</v>
      </c>
      <c r="I13" s="100"/>
      <c r="K13" s="96">
        <f t="shared" si="1"/>
        <v>660.09886363636338</v>
      </c>
      <c r="M13" s="51"/>
    </row>
    <row r="14" spans="2:13" x14ac:dyDescent="0.25">
      <c r="B14" s="335" t="s">
        <v>143</v>
      </c>
      <c r="C14" s="335"/>
      <c r="D14" s="335"/>
      <c r="E14" s="95">
        <f>(((Dados!E23*1)/Dados!E68)*Dados!E77)*Dados!E11</f>
        <v>3576.8181818181815</v>
      </c>
      <c r="F14" s="100"/>
      <c r="G14" s="98"/>
      <c r="H14" s="95">
        <f t="shared" si="0"/>
        <v>3576.8181818181815</v>
      </c>
      <c r="I14" s="100"/>
      <c r="K14" s="96">
        <f t="shared" si="1"/>
        <v>3576.8181818181815</v>
      </c>
    </row>
    <row r="15" spans="2:13" x14ac:dyDescent="0.25">
      <c r="B15" s="335" t="s">
        <v>46</v>
      </c>
      <c r="C15" s="335"/>
      <c r="D15" s="335"/>
      <c r="E15" s="95">
        <f>E14*Dados!E86</f>
        <v>643.82727272727266</v>
      </c>
      <c r="F15" s="100"/>
      <c r="G15" s="98"/>
      <c r="H15" s="95">
        <f t="shared" si="0"/>
        <v>643.82727272727266</v>
      </c>
      <c r="I15" s="100"/>
      <c r="K15" s="96">
        <f t="shared" si="1"/>
        <v>643.82727272727266</v>
      </c>
    </row>
    <row r="16" spans="2:13" x14ac:dyDescent="0.25">
      <c r="B16" s="335" t="s">
        <v>144</v>
      </c>
      <c r="C16" s="335"/>
      <c r="D16" s="335"/>
      <c r="E16" s="95">
        <f>E14*Dados!E86</f>
        <v>643.82727272727266</v>
      </c>
      <c r="F16" s="100"/>
      <c r="G16" s="98"/>
      <c r="H16" s="95">
        <f t="shared" si="0"/>
        <v>643.82727272727266</v>
      </c>
      <c r="I16" s="100"/>
      <c r="K16" s="96">
        <f t="shared" si="1"/>
        <v>643.82727272727266</v>
      </c>
    </row>
    <row r="17" spans="2:11" x14ac:dyDescent="0.25">
      <c r="B17" s="335" t="s">
        <v>50</v>
      </c>
      <c r="C17" s="335"/>
      <c r="D17" s="335"/>
      <c r="E17" s="95">
        <f>(((Dados!E96*Dados!C96)/Dados!D96)*Dados!E24)</f>
        <v>503.08064999999999</v>
      </c>
      <c r="F17" s="100"/>
      <c r="G17" s="98"/>
      <c r="H17" s="95">
        <f t="shared" si="0"/>
        <v>503.08064999999999</v>
      </c>
      <c r="I17" s="100"/>
      <c r="K17" s="96">
        <f t="shared" si="1"/>
        <v>503.08064999999999</v>
      </c>
    </row>
    <row r="18" spans="2:11" x14ac:dyDescent="0.25">
      <c r="B18" s="329" t="s">
        <v>92</v>
      </c>
      <c r="C18" s="329"/>
      <c r="D18" s="329"/>
      <c r="E18" s="94">
        <f>SUM(E12:E17)</f>
        <v>6863.2204227272705</v>
      </c>
      <c r="F18" s="102"/>
      <c r="G18" s="98"/>
      <c r="H18" s="94">
        <f>SUM(H12:H17)</f>
        <v>6863.2204227272705</v>
      </c>
      <c r="I18" s="102"/>
      <c r="K18" s="97">
        <f>SUM(K12:K17)</f>
        <v>6863.2204227272705</v>
      </c>
    </row>
    <row r="19" spans="2:11" x14ac:dyDescent="0.25">
      <c r="B19" s="336" t="s">
        <v>145</v>
      </c>
      <c r="C19" s="336"/>
      <c r="D19" s="336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7" t="s">
        <v>146</v>
      </c>
      <c r="C20" s="337"/>
      <c r="D20" s="337"/>
      <c r="E20" s="95">
        <f>Motorista!G67</f>
        <v>1130.7695681193743</v>
      </c>
      <c r="F20" s="100"/>
      <c r="G20" s="98"/>
      <c r="H20" s="41">
        <f>E20</f>
        <v>1130.7695681193743</v>
      </c>
      <c r="I20" s="108"/>
      <c r="K20" s="41">
        <f>Motorista!J67</f>
        <v>1127.4300788798289</v>
      </c>
    </row>
    <row r="21" spans="2:11" x14ac:dyDescent="0.25">
      <c r="B21" s="328" t="s">
        <v>92</v>
      </c>
      <c r="C21" s="328"/>
      <c r="D21" s="328"/>
      <c r="E21" s="94">
        <f>SUM(E20:E20)</f>
        <v>1130.7695681193743</v>
      </c>
      <c r="F21" s="102"/>
      <c r="G21" s="98"/>
      <c r="H21" s="58">
        <f>SUM(H20:H20)</f>
        <v>1130.7695681193743</v>
      </c>
      <c r="I21" s="106"/>
      <c r="K21" s="58">
        <f>SUM(K20:K20)</f>
        <v>1127.4300788798289</v>
      </c>
    </row>
    <row r="22" spans="2:11" x14ac:dyDescent="0.25">
      <c r="B22" s="324" t="s">
        <v>67</v>
      </c>
      <c r="C22" s="324"/>
      <c r="D22" s="324"/>
      <c r="E22" s="99"/>
      <c r="F22" s="99"/>
      <c r="G22" s="98"/>
      <c r="H22" s="99"/>
      <c r="I22" s="99"/>
      <c r="K22" s="99"/>
    </row>
    <row r="23" spans="2:11" x14ac:dyDescent="0.25">
      <c r="B23" s="341" t="s">
        <v>171</v>
      </c>
      <c r="C23" s="341"/>
      <c r="D23" s="341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35" t="s">
        <v>36</v>
      </c>
      <c r="C24" s="335"/>
      <c r="D24" s="335"/>
      <c r="E24" s="95">
        <f>(Dados!E72/12)*Dados!E58</f>
        <v>2.443181818181817</v>
      </c>
      <c r="F24" s="100"/>
      <c r="G24" s="98"/>
      <c r="H24" s="96">
        <f t="shared" ref="H24:H29" si="2">E24</f>
        <v>2.443181818181817</v>
      </c>
      <c r="I24" s="108"/>
      <c r="K24" s="96">
        <f t="shared" ref="K24:K29" si="3">E24</f>
        <v>2.443181818181817</v>
      </c>
    </row>
    <row r="25" spans="2:11" x14ac:dyDescent="0.25">
      <c r="B25" s="335" t="s">
        <v>38</v>
      </c>
      <c r="C25" s="335"/>
      <c r="D25" s="335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35" t="s">
        <v>37</v>
      </c>
      <c r="C26" s="335"/>
      <c r="D26" s="335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35" t="s">
        <v>147</v>
      </c>
      <c r="C27" s="335"/>
      <c r="D27" s="335"/>
      <c r="E27" s="95">
        <f>(Dados!E75/12)*Dados!E58</f>
        <v>6.1079545454545423</v>
      </c>
      <c r="F27" s="100"/>
      <c r="G27" s="98"/>
      <c r="H27" s="96">
        <f t="shared" si="2"/>
        <v>6.1079545454545423</v>
      </c>
      <c r="I27" s="108"/>
      <c r="K27" s="96">
        <f t="shared" si="3"/>
        <v>6.1079545454545423</v>
      </c>
    </row>
    <row r="28" spans="2:11" x14ac:dyDescent="0.25">
      <c r="B28" s="335" t="s">
        <v>148</v>
      </c>
      <c r="C28" s="335"/>
      <c r="D28" s="335"/>
      <c r="E28" s="95">
        <f>(Dados!E76/12)*Dados!E58</f>
        <v>11.458522727272722</v>
      </c>
      <c r="F28" s="100"/>
      <c r="G28" s="98"/>
      <c r="H28" s="96">
        <f t="shared" si="2"/>
        <v>11.458522727272722</v>
      </c>
      <c r="I28" s="108"/>
      <c r="K28" s="96">
        <f t="shared" si="3"/>
        <v>11.458522727272722</v>
      </c>
    </row>
    <row r="29" spans="2:11" x14ac:dyDescent="0.25">
      <c r="B29" s="335" t="s">
        <v>149</v>
      </c>
      <c r="C29" s="335"/>
      <c r="D29" s="335"/>
      <c r="E29" s="95">
        <f>(Dados!E82/12)*Dados!E58</f>
        <v>36.647727272727252</v>
      </c>
      <c r="F29" s="100"/>
      <c r="G29" s="98"/>
      <c r="H29" s="96">
        <f t="shared" si="2"/>
        <v>36.647727272727252</v>
      </c>
      <c r="I29" s="108"/>
      <c r="K29" s="96">
        <f t="shared" si="3"/>
        <v>36.647727272727252</v>
      </c>
    </row>
    <row r="30" spans="2:11" x14ac:dyDescent="0.25">
      <c r="B30" s="340" t="s">
        <v>150</v>
      </c>
      <c r="C30" s="340"/>
      <c r="D30" s="340"/>
      <c r="E30" s="95"/>
      <c r="F30" s="100"/>
      <c r="G30" s="98"/>
      <c r="H30" s="96"/>
      <c r="I30" s="108"/>
      <c r="K30" s="96"/>
    </row>
    <row r="31" spans="2:11" x14ac:dyDescent="0.25">
      <c r="B31" s="335" t="s">
        <v>150</v>
      </c>
      <c r="C31" s="335"/>
      <c r="D31" s="335"/>
      <c r="E31" s="95">
        <f>((E18+E21)*Dados!E113)*Dados!E60</f>
        <v>117.18462600218372</v>
      </c>
      <c r="F31" s="100"/>
      <c r="G31" s="98"/>
      <c r="H31" s="96">
        <f>((E18+E21)*Dados!E113)*Dados!E60</f>
        <v>117.18462600218372</v>
      </c>
      <c r="I31" s="108"/>
      <c r="K31" s="96">
        <f>((K18+K21)*Dados!E113)*Dados!E58</f>
        <v>117.13567212583131</v>
      </c>
    </row>
    <row r="32" spans="2:11" x14ac:dyDescent="0.25">
      <c r="B32" s="328" t="s">
        <v>92</v>
      </c>
      <c r="C32" s="328"/>
      <c r="D32" s="328"/>
      <c r="E32" s="94">
        <f>SUM(E24:E31)</f>
        <v>173.84201236582004</v>
      </c>
      <c r="F32" s="102"/>
      <c r="G32" s="98"/>
      <c r="H32" s="97">
        <f>SUM(H24:H31)</f>
        <v>173.84201236582004</v>
      </c>
      <c r="I32" s="106"/>
      <c r="K32" s="97">
        <f>SUM(K24:K31)</f>
        <v>173.79305848946763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2"/>
      <c r="C34" s="333"/>
      <c r="D34" s="334"/>
      <c r="E34" s="101">
        <f>(E32+E21+E18)*Dados!E116</f>
        <v>1225.1748004818696</v>
      </c>
      <c r="F34" s="100"/>
      <c r="G34" s="98"/>
      <c r="H34" s="96">
        <f>E34</f>
        <v>1225.1748004818696</v>
      </c>
      <c r="I34" s="108"/>
      <c r="K34" s="96">
        <f>(K32+K21+K18)*Dados!E116</f>
        <v>1224.666534014485</v>
      </c>
    </row>
    <row r="35" spans="2:13" x14ac:dyDescent="0.25">
      <c r="B35" s="339" t="s">
        <v>92</v>
      </c>
      <c r="C35" s="339"/>
      <c r="D35" s="339"/>
      <c r="E35" s="94">
        <f>SUM(E34)</f>
        <v>1225.1748004818696</v>
      </c>
      <c r="F35" s="102"/>
      <c r="G35" s="98"/>
      <c r="H35" s="97">
        <f>SUM(H34)</f>
        <v>1225.1748004818696</v>
      </c>
      <c r="I35" s="106"/>
      <c r="K35" s="97">
        <f>SUM(K34)</f>
        <v>1224.666534014485</v>
      </c>
    </row>
    <row r="36" spans="2:13" x14ac:dyDescent="0.25">
      <c r="B36" s="328" t="s">
        <v>92</v>
      </c>
      <c r="C36" s="328"/>
      <c r="D36" s="328"/>
      <c r="E36" s="94">
        <f>E35+E32+E21+E18</f>
        <v>9393.0068036943339</v>
      </c>
      <c r="F36" s="102"/>
      <c r="G36" s="98"/>
      <c r="H36" s="97">
        <f>H35+H32+H21+H18</f>
        <v>9393.0068036943339</v>
      </c>
      <c r="I36" s="106"/>
      <c r="K36" s="97">
        <f>K35+K32+K21+K18</f>
        <v>9389.1100941110526</v>
      </c>
    </row>
    <row r="37" spans="2:13" x14ac:dyDescent="0.25">
      <c r="B37" s="330" t="s">
        <v>156</v>
      </c>
      <c r="C37" s="330"/>
      <c r="D37" s="330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1" t="s">
        <v>151</v>
      </c>
      <c r="C38" s="331"/>
      <c r="D38" s="331"/>
      <c r="E38" s="95">
        <f>E36/((100-14.25)/100)</f>
        <v>10953.943794395724</v>
      </c>
      <c r="F38" s="100"/>
      <c r="G38" s="95"/>
      <c r="H38" s="95">
        <f>H36/((100-8.65)/100)</f>
        <v>10282.437661405949</v>
      </c>
      <c r="J38" s="17"/>
      <c r="K38" s="95">
        <f>K36/((100-7.99)/100)</f>
        <v>10204.445271286873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832.49972837407495</v>
      </c>
      <c r="F39" s="100"/>
      <c r="G39" s="109">
        <f>Dados!D120</f>
        <v>0.03</v>
      </c>
      <c r="H39" s="95">
        <f>H38*G39</f>
        <v>308.47312984217848</v>
      </c>
      <c r="J39" s="50">
        <f>Dados!E120</f>
        <v>2.4199999999999999E-2</v>
      </c>
      <c r="K39" s="95">
        <f>K38*J39</f>
        <v>246.94757556514233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180.74007260752944</v>
      </c>
      <c r="F40" s="100"/>
      <c r="G40" s="109">
        <f>Dados!D121</f>
        <v>6.4999999999999997E-3</v>
      </c>
      <c r="H40" s="95">
        <f>H38*G40</f>
        <v>66.83584479913867</v>
      </c>
      <c r="J40" s="50">
        <f>Dados!E121</f>
        <v>5.7000000000000002E-3</v>
      </c>
      <c r="K40" s="95">
        <f>K38*J40</f>
        <v>58.165338046335179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547.69718971978625</v>
      </c>
      <c r="F41" s="100"/>
      <c r="G41" s="109">
        <f>Dados!D122</f>
        <v>0.05</v>
      </c>
      <c r="H41" s="95">
        <f>H38*G41</f>
        <v>514.12188307029749</v>
      </c>
      <c r="J41" s="111">
        <f>Dados!E122</f>
        <v>0.05</v>
      </c>
      <c r="K41" s="95">
        <f>K38*J41</f>
        <v>510.22226356434368</v>
      </c>
    </row>
    <row r="42" spans="2:13" x14ac:dyDescent="0.25">
      <c r="B42" s="338" t="s">
        <v>155</v>
      </c>
      <c r="C42" s="338"/>
      <c r="D42" s="338"/>
      <c r="E42" s="94">
        <f>SUM(E39:E41)</f>
        <v>1560.9369907013906</v>
      </c>
      <c r="F42" s="102"/>
      <c r="G42" s="110">
        <f>SUM(G39:G41)</f>
        <v>8.6499999999999994E-2</v>
      </c>
      <c r="H42" s="97">
        <f>SUM(H39:H41)</f>
        <v>889.43085771161464</v>
      </c>
      <c r="I42" s="5"/>
      <c r="J42" s="112">
        <f>SUM(J39:J41)</f>
        <v>7.9899999999999999E-2</v>
      </c>
      <c r="K42" s="94">
        <f>SUM(K39:K41)</f>
        <v>815.33517717582117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7" t="s">
        <v>111</v>
      </c>
      <c r="C44" s="327"/>
      <c r="D44" s="327"/>
      <c r="E44" s="58">
        <f>E42+E36</f>
        <v>10953.943794395724</v>
      </c>
      <c r="F44" s="106"/>
      <c r="H44" s="97">
        <f>H36+H42</f>
        <v>10282.437661405949</v>
      </c>
      <c r="I44" s="5"/>
      <c r="J44" s="5"/>
      <c r="K44" s="97">
        <f>K42+K36</f>
        <v>10204.445271286873</v>
      </c>
    </row>
    <row r="45" spans="2:13" x14ac:dyDescent="0.25">
      <c r="D45" s="5" t="s">
        <v>163</v>
      </c>
      <c r="E45" s="58">
        <f>E44/Dados!E24</f>
        <v>5.6609528653207875</v>
      </c>
      <c r="F45" s="106"/>
      <c r="H45" s="97">
        <f>H44/Dados!E24</f>
        <v>5.3139212720444187</v>
      </c>
      <c r="K45" s="97">
        <f>K44/Dados!E24</f>
        <v>5.2736151272800376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B3OgYMDaLqIcQB/nTIl68txQ1dsV7y+uQhRYxXdyEFltQqAVk14Q2oxuvLS4MNjKgN4ywje7ixOIkkaALj6BaQ==" saltValue="t8Z/PIYs+Bo+MoMYWyUzUw==" spinCount="100000" sheet="1" formatCells="0" formatColumns="0" formatRows="0" insertColumns="0" insertRows="0" insertHyperlinks="0" deleteColumns="0" deleteRows="0" sort="0" autoFilter="0" pivotTables="0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Dados</vt:lpstr>
      <vt:lpstr>Motorista</vt:lpstr>
      <vt:lpstr>Custo total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2024-09-16T18:13:33Z</cp:lastPrinted>
  <dcterms:created xsi:type="dcterms:W3CDTF">2017-01-21T11:53:29Z</dcterms:created>
  <dcterms:modified xsi:type="dcterms:W3CDTF">2024-09-16T18:14:16Z</dcterms:modified>
</cp:coreProperties>
</file>