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ocuments\PASTA DAIANI\editais Pregão 2024\Transporte Escolar\Pesquisa de preços\Planilhas de Preços\"/>
    </mc:Choice>
  </mc:AlternateContent>
  <xr:revisionPtr revIDLastSave="0" documentId="13_ncr:1_{0D2C18FF-621B-4A94-B6CB-2E15FF5CB93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E32" i="1" l="1"/>
  <c r="E31" i="1" l="1"/>
  <c r="G10" i="3" l="1"/>
  <c r="E96" i="1" l="1"/>
  <c r="D96" i="1"/>
  <c r="C96" i="1"/>
  <c r="E48" i="1"/>
  <c r="D48" i="1"/>
  <c r="C48" i="1"/>
  <c r="C47" i="1"/>
  <c r="C40" i="1"/>
  <c r="E40" i="1" s="1"/>
  <c r="C39" i="1" l="1"/>
  <c r="E23" i="1"/>
  <c r="D46" i="1"/>
  <c r="E14" i="4" l="1"/>
  <c r="E16" i="4" s="1"/>
  <c r="G11" i="3"/>
  <c r="E54" i="1"/>
  <c r="D47" i="1"/>
  <c r="D41" i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24E5D435-5761-4297-96B6-F89AEAF84327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micro, novo</t>
        </r>
      </text>
    </comment>
    <comment ref="E82" authorId="0" shapeId="0" xr:uid="{5A7DC2AC-A4F4-4778-BEF0-662BD950FBE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seguro de R$ 500.000,00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e o tamanho do etinerário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do etinerário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<sst xmlns="http://schemas.openxmlformats.org/spreadsheetml/2006/main" count="289" uniqueCount="192">
  <si>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</si>
  <si>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</si>
  <si>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</si>
  <si>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</si>
  <si>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</si>
  <si>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</si>
  <si>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</si>
  <si>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</si>
  <si>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</si>
  <si>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</si>
  <si>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</si>
  <si>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</si>
  <si>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</si>
  <si>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</si>
  <si>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</si>
  <si>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</si>
  <si>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</si>
  <si>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</si>
  <si>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</si>
  <si>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</si>
  <si>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</si>
  <si>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</si>
  <si>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</si>
  <si>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</si>
  <si>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</si>
  <si>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</si>
  <si>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</si>
  <si>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</si>
  <si>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</si>
  <si>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</si>
  <si>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</si>
  <si>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</si>
  <si>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</si>
  <si>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</si>
  <si>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</si>
  <si>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</si>
  <si>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</si>
  <si>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</si>
  <si>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</si>
  <si>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</si>
  <si>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</si>
  <si>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</si>
  <si>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</si>
  <si>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</si>
  <si>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</si>
  <si>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</si>
  <si>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</si>
  <si>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</si>
  <si>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</si>
  <si>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</si>
  <si>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</si>
  <si>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</si>
  <si>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</si>
  <si>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</si>
  <si>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</si>
  <si>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</si>
  <si>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</si>
  <si>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</si>
  <si>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</si>
  <si>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</si>
  <si>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</si>
  <si>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</si>
  <si>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</si>
  <si>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</si>
  <si>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</si>
  <si>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</si>
  <si>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</si>
  <si>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</si>
  <si>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</si>
  <si>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</si>
  <si>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</si>
  <si>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</si>
  <si>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</si>
  <si>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</si>
  <si>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</si>
  <si>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</si>
  <si>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</si>
  <si>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</si>
  <si>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</si>
  <si>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</si>
  <si>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</si>
  <si>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</si>
  <si>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</si>
  <si>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</si>
  <si>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</si>
  <si>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</si>
  <si>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</si>
  <si>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</si>
  <si>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</si>
  <si>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</si>
  <si>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</si>
  <si>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</si>
  <si>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</si>
  <si>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</si>
  <si>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</si>
  <si>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</si>
  <si>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</si>
  <si>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</si>
  <si>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</si>
  <si>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</si>
  <si>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</si>
  <si>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</si>
  <si>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</si>
  <si>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</si>
  <si>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</si>
  <si>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</si>
  <si>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</si>
  <si>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</si>
  <si>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</si>
  <si>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</si>
  <si>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</si>
  <si>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</si>
  <si>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</si>
  <si>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</si>
  <si>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</si>
  <si>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</si>
  <si>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</si>
  <si>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</si>
  <si>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</si>
  <si>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</si>
  <si>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</si>
  <si>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</si>
  <si>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</si>
  <si>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</si>
  <si>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</si>
  <si>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</si>
  <si>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</si>
  <si>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</si>
  <si>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</si>
  <si>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</si>
  <si>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</si>
  <si>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</si>
  <si>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</si>
  <si>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</si>
  <si>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</si>
  <si>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</si>
  <si>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</si>
  <si>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</si>
  <si>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</si>
  <si>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</si>
  <si>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</si>
  <si>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</si>
  <si>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</si>
  <si>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</si>
  <si>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</si>
  <si>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</si>
  <si>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</si>
  <si>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</si>
  <si>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</si>
  <si>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</si>
  <si>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</si>
  <si>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</si>
  <si>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</si>
  <si>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</si>
  <si>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</si>
  <si>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</si>
  <si>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</si>
  <si>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</si>
  <si>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</si>
  <si>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</si>
  <si>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</si>
  <si>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</si>
  <si>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</si>
  <si>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</si>
  <si>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</si>
  <si>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</si>
  <si>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</si>
  <si>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</si>
  <si>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</si>
  <si>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</si>
  <si>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</si>
  <si>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</si>
  <si>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</si>
  <si>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</si>
  <si>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</si>
  <si>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</si>
  <si>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</si>
  <si>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</si>
  <si>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</si>
  <si>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</si>
  <si>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</si>
  <si>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</si>
  <si>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</si>
  <si>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Rota 4</t>
  </si>
  <si>
    <t>RS004730/2023</t>
  </si>
  <si>
    <t>1º de agosto</t>
  </si>
  <si>
    <t>Rota 2 - turno da tarde</t>
  </si>
  <si>
    <t>MICRO</t>
  </si>
  <si>
    <t>MANHÃ</t>
  </si>
  <si>
    <t>ITEM 19 - LINHA 19 - LINHA EMERGENCIAL ETINERARIO MUNICIPAL</t>
  </si>
  <si>
    <t>Adair/D. Pedro II</t>
  </si>
  <si>
    <t>DADOS DA CONTRATAÇÃO: LINHA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</si>
</sst>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/>
    <xf numFmtId="0" fontId="3" fillId="0" borderId="0" xfId="0" applyFont="1"/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Border="1" applyAlignment="1">
      <alignment horizontal="left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4" applyFont="1" applyBorder="1"/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tabSelected="1" view="pageBreakPreview" zoomScaleNormal="100" zoomScaleSheetLayoutView="100" workbookViewId="0">
      <selection activeCell="G11" sqref="G11"/>
    </sheetView>
  </sheetViews>
  <sheetFormatPr defaultRowHeight="15.75" x14ac:dyDescent="0.25"/>
  <cols>
    <col min="1" max="1" width="9.140625" style="4"/>
    <col min="2" max="2" width="14" style="4" customWidth="1"/>
    <col min="3" max="3" width="31.7109375" style="4" customWidth="1"/>
    <col min="4" max="5" width="12" style="4" customWidth="1"/>
    <col min="6" max="16384" width="9.140625" style="4"/>
  </cols>
  <sheetData>
    <row r="2" spans="2:9" x14ac:dyDescent="0.25">
      <c r="B2" s="230" t="s">
        <v>172</v>
      </c>
      <c r="C2" s="230"/>
      <c r="D2" s="230"/>
      <c r="E2" s="230"/>
      <c r="F2" s="230"/>
      <c r="G2" s="230"/>
      <c r="H2" s="230"/>
      <c r="I2" s="121"/>
    </row>
    <row r="3" spans="2:9" x14ac:dyDescent="0.25">
      <c r="B3" s="183" t="s">
        <v>173</v>
      </c>
      <c r="C3" s="184"/>
      <c r="D3" s="184"/>
      <c r="E3" s="184"/>
      <c r="F3" s="184"/>
      <c r="G3" s="184"/>
      <c r="H3" s="18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203" t="s">
        <v>191</v>
      </c>
      <c r="C6" s="204"/>
      <c r="D6" s="46"/>
      <c r="E6" s="46"/>
      <c r="F6" s="46"/>
      <c r="G6" s="46"/>
      <c r="H6" s="46"/>
      <c r="I6" s="46"/>
    </row>
    <row r="8" spans="2:9" x14ac:dyDescent="0.25">
      <c r="B8" s="208" t="s">
        <v>4</v>
      </c>
      <c r="C8" s="208"/>
      <c r="D8" s="208"/>
      <c r="E8" s="208"/>
    </row>
    <row r="9" spans="2:9" x14ac:dyDescent="0.25">
      <c r="B9" s="188" t="s">
        <v>1</v>
      </c>
      <c r="C9" s="188"/>
      <c r="D9" s="188"/>
      <c r="E9" s="6">
        <v>122</v>
      </c>
    </row>
    <row r="10" spans="2:9" x14ac:dyDescent="0.25">
      <c r="B10" s="188" t="s">
        <v>2</v>
      </c>
      <c r="C10" s="188"/>
      <c r="D10" s="188"/>
      <c r="E10" s="7">
        <v>11</v>
      </c>
    </row>
    <row r="11" spans="2:9" x14ac:dyDescent="0.25">
      <c r="B11" s="188" t="s">
        <v>3</v>
      </c>
      <c r="C11" s="188"/>
      <c r="D11" s="188"/>
      <c r="E11" s="7">
        <v>15</v>
      </c>
    </row>
    <row r="12" spans="2:9" x14ac:dyDescent="0.25">
      <c r="B12" s="8"/>
      <c r="C12" s="8"/>
      <c r="D12" s="8"/>
      <c r="E12" s="8"/>
    </row>
    <row r="13" spans="2:9" x14ac:dyDescent="0.25">
      <c r="B13" s="194" t="s">
        <v>6</v>
      </c>
      <c r="C13" s="194"/>
      <c r="D13" s="194"/>
      <c r="E13" s="194"/>
    </row>
    <row r="14" spans="2:9" x14ac:dyDescent="0.25">
      <c r="B14" s="198" t="s">
        <v>5</v>
      </c>
      <c r="C14" s="198"/>
      <c r="D14" s="199" t="s">
        <v>175</v>
      </c>
      <c r="E14" s="199"/>
    </row>
    <row r="15" spans="2:9" x14ac:dyDescent="0.25">
      <c r="B15" s="200" t="s">
        <v>188</v>
      </c>
      <c r="C15" s="200"/>
      <c r="D15" s="201">
        <v>44</v>
      </c>
      <c r="E15" s="201"/>
    </row>
    <row r="17" spans="2:9" ht="15.75" customHeight="1" x14ac:dyDescent="0.25">
      <c r="B17" s="189" t="s">
        <v>181</v>
      </c>
      <c r="C17" s="190"/>
      <c r="D17" s="1"/>
      <c r="E17" s="2"/>
    </row>
    <row r="18" spans="2:9" ht="15" customHeight="1" x14ac:dyDescent="0.25">
      <c r="B18" s="195" t="s">
        <v>189</v>
      </c>
      <c r="C18" s="196"/>
      <c r="D18" s="196"/>
      <c r="E18" s="196"/>
      <c r="F18" s="54"/>
      <c r="G18" s="54"/>
      <c r="H18" s="54"/>
      <c r="I18" s="54"/>
    </row>
    <row r="19" spans="2:9" ht="43.5" hidden="1" customHeight="1" x14ac:dyDescent="0.25">
      <c r="B19" s="197"/>
      <c r="C19" s="197"/>
      <c r="D19" s="197"/>
      <c r="E19" s="197"/>
      <c r="F19" s="54"/>
      <c r="G19" s="54"/>
      <c r="H19" s="54"/>
      <c r="I19" s="54"/>
    </row>
    <row r="20" spans="2:9" x14ac:dyDescent="0.25">
      <c r="B20" s="205" t="s">
        <v>190</v>
      </c>
      <c r="C20" s="206"/>
      <c r="D20" s="206"/>
      <c r="F20" s="54"/>
      <c r="G20" s="54"/>
      <c r="H20" s="54"/>
      <c r="I20" s="54"/>
    </row>
    <row r="21" spans="2:9" x14ac:dyDescent="0.25">
      <c r="B21" s="202" t="s">
        <v>10</v>
      </c>
      <c r="C21" s="202"/>
      <c r="D21" s="202"/>
      <c r="E21" s="202"/>
      <c r="F21" s="54"/>
      <c r="G21" s="54"/>
      <c r="H21" s="54"/>
      <c r="I21" s="54"/>
    </row>
    <row r="22" spans="2:9" ht="47.25" x14ac:dyDescent="0.25">
      <c r="B22" s="11"/>
      <c r="C22" s="113" t="s">
        <v>180</v>
      </c>
      <c r="D22" s="113" t="s">
        <v>186</v>
      </c>
      <c r="E22" s="30" t="s">
        <v>9</v>
      </c>
    </row>
    <row r="23" spans="2:9" x14ac:dyDescent="0.25">
      <c r="B23" s="7" t="s">
        <v>54</v>
      </c>
      <c r="C23" s="93">
        <v>45</v>
      </c>
      <c r="D23" s="42">
        <v>45</v>
      </c>
      <c r="E23" s="42">
        <f>C23+D23</f>
        <v>90</v>
      </c>
    </row>
    <row r="24" spans="2:9" x14ac:dyDescent="0.25">
      <c r="B24" s="12" t="s">
        <v>24</v>
      </c>
      <c r="C24" s="93">
        <f>C23*E11</f>
        <v>675</v>
      </c>
      <c r="D24" s="42">
        <f>D23*E11</f>
        <v>675</v>
      </c>
      <c r="E24" s="42">
        <f>C24+D24</f>
        <v>1350</v>
      </c>
    </row>
    <row r="25" spans="2:9" x14ac:dyDescent="0.25">
      <c r="B25" s="12" t="s">
        <v>55</v>
      </c>
      <c r="C25" s="93">
        <f>C23*E9</f>
        <v>5490</v>
      </c>
      <c r="D25" s="42">
        <f>D23*E9</f>
        <v>5490</v>
      </c>
      <c r="E25" s="42">
        <f>C25+D25</f>
        <v>10980</v>
      </c>
    </row>
    <row r="26" spans="2:9" x14ac:dyDescent="0.25">
      <c r="B26" s="9"/>
      <c r="C26" s="9"/>
      <c r="D26" s="10"/>
      <c r="E26" s="10"/>
    </row>
    <row r="27" spans="2:9" x14ac:dyDescent="0.25">
      <c r="B27" s="194" t="s">
        <v>11</v>
      </c>
      <c r="C27" s="194"/>
      <c r="D27" s="194"/>
      <c r="E27" s="194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0.27777777777777779</v>
      </c>
      <c r="D29" s="13">
        <v>0.31944444444444448</v>
      </c>
      <c r="E29" s="13">
        <f>D29-C29</f>
        <v>4.1666666666666685E-2</v>
      </c>
    </row>
    <row r="30" spans="2:9" x14ac:dyDescent="0.25">
      <c r="B30" s="12" t="s">
        <v>15</v>
      </c>
      <c r="C30" s="13">
        <v>0.49305555555555558</v>
      </c>
      <c r="D30" s="13">
        <v>0.53472222222222221</v>
      </c>
      <c r="E30" s="13">
        <f>D30-C30</f>
        <v>4.166666666666663E-2</v>
      </c>
    </row>
    <row r="31" spans="2:9" x14ac:dyDescent="0.25">
      <c r="B31" s="34" t="s">
        <v>176</v>
      </c>
      <c r="C31" s="176"/>
      <c r="D31" s="177"/>
      <c r="E31" s="13">
        <f>D31-C31</f>
        <v>0</v>
      </c>
    </row>
    <row r="32" spans="2:9" x14ac:dyDescent="0.25">
      <c r="B32" s="34" t="s">
        <v>183</v>
      </c>
      <c r="C32" s="176"/>
      <c r="D32" s="177"/>
      <c r="E32" s="13">
        <f>D32-C32</f>
        <v>0</v>
      </c>
    </row>
    <row r="33" spans="2:9" x14ac:dyDescent="0.25">
      <c r="B33" s="191" t="s">
        <v>9</v>
      </c>
      <c r="C33" s="192"/>
      <c r="D33" s="193"/>
      <c r="E33" s="14">
        <f>E29+E30+E31+E32</f>
        <v>8.3333333333333315E-2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4.1666666666666685E-2</v>
      </c>
      <c r="D37" s="19">
        <v>0</v>
      </c>
      <c r="E37" s="18">
        <f>C37+D37</f>
        <v>4.1666666666666685E-2</v>
      </c>
    </row>
    <row r="38" spans="2:9" x14ac:dyDescent="0.25">
      <c r="B38" s="17" t="str">
        <f>B30</f>
        <v>Rota 2</v>
      </c>
      <c r="C38" s="19">
        <f>D30-C30</f>
        <v>4.166666666666663E-2</v>
      </c>
      <c r="D38" s="18">
        <v>0</v>
      </c>
      <c r="E38" s="18">
        <f>C38+D38</f>
        <v>4.166666666666663E-2</v>
      </c>
    </row>
    <row r="39" spans="2:9" x14ac:dyDescent="0.25">
      <c r="B39" s="17" t="s">
        <v>176</v>
      </c>
      <c r="C39" s="19">
        <f>D31-C31</f>
        <v>0</v>
      </c>
      <c r="D39" s="19">
        <v>0</v>
      </c>
      <c r="E39" s="19">
        <f>C39+D39</f>
        <v>0</v>
      </c>
    </row>
    <row r="40" spans="2:9" x14ac:dyDescent="0.25">
      <c r="B40" s="17" t="s">
        <v>183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8.3333333333333315E-2</v>
      </c>
      <c r="D41" s="179">
        <f>SUM(D37:D39)</f>
        <v>0</v>
      </c>
      <c r="E41" s="20">
        <f>SUM(E37:E40)</f>
        <v>8.3333333333333315E-2</v>
      </c>
    </row>
    <row r="42" spans="2:9" ht="77.25" customHeight="1" x14ac:dyDescent="0.25">
      <c r="D42" s="5"/>
      <c r="E42" s="21"/>
    </row>
    <row r="43" spans="2:9" x14ac:dyDescent="0.25">
      <c r="B43" s="209" t="s">
        <v>18</v>
      </c>
      <c r="C43" s="210"/>
      <c r="D43" s="210"/>
      <c r="E43" s="210"/>
      <c r="F43" s="210"/>
      <c r="G43" s="210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1.0000000000000004</v>
      </c>
      <c r="D45" s="48">
        <f>D37*24</f>
        <v>0</v>
      </c>
      <c r="E45" s="48">
        <f>C45+D45</f>
        <v>1.0000000000000004</v>
      </c>
    </row>
    <row r="46" spans="2:9" x14ac:dyDescent="0.25">
      <c r="B46" s="17" t="str">
        <f>B38</f>
        <v>Rota 2</v>
      </c>
      <c r="C46" s="48">
        <f>E30*24</f>
        <v>0.99999999999999911</v>
      </c>
      <c r="D46" s="48">
        <f>D38*24</f>
        <v>0</v>
      </c>
      <c r="E46" s="48">
        <f>C46+D46</f>
        <v>0.99999999999999911</v>
      </c>
    </row>
    <row r="47" spans="2:9" x14ac:dyDescent="0.25">
      <c r="B47" s="17" t="s">
        <v>176</v>
      </c>
      <c r="C47" s="48">
        <f>E31*24</f>
        <v>0</v>
      </c>
      <c r="D47" s="48">
        <f>D39*24</f>
        <v>0</v>
      </c>
      <c r="E47" s="48">
        <f>E31*24</f>
        <v>0</v>
      </c>
    </row>
    <row r="48" spans="2:9" x14ac:dyDescent="0.25">
      <c r="B48" s="17" t="s">
        <v>183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1.9999999999999996</v>
      </c>
      <c r="D49" s="180">
        <f>SUM(D45:D48)</f>
        <v>0</v>
      </c>
      <c r="E49" s="180">
        <f>SUM(E45:E48)</f>
        <v>1.9999999999999996</v>
      </c>
    </row>
    <row r="50" spans="2:10" x14ac:dyDescent="0.25">
      <c r="D50" s="5"/>
      <c r="E50" s="5"/>
    </row>
    <row r="51" spans="2:10" x14ac:dyDescent="0.25">
      <c r="B51" s="203" t="s">
        <v>26</v>
      </c>
      <c r="C51" s="203"/>
      <c r="D51" s="203"/>
      <c r="E51" s="203"/>
      <c r="F51" s="203"/>
      <c r="G51" s="203"/>
      <c r="H51" s="203"/>
      <c r="I51" s="203"/>
    </row>
    <row r="52" spans="2:10" x14ac:dyDescent="0.25">
      <c r="B52" s="213" t="s">
        <v>19</v>
      </c>
      <c r="C52" s="16" t="s">
        <v>13</v>
      </c>
      <c r="D52" s="16" t="s">
        <v>14</v>
      </c>
      <c r="E52" s="16"/>
    </row>
    <row r="53" spans="2:10" x14ac:dyDescent="0.25">
      <c r="B53" s="214"/>
      <c r="C53" s="22">
        <f>(C45+C46+C47+C48)*E11</f>
        <v>29.999999999999993</v>
      </c>
      <c r="D53" s="22">
        <f>(D45+D46+D47+D48)*E11</f>
        <v>0</v>
      </c>
      <c r="E53" s="23">
        <f>C53+D53</f>
        <v>29.999999999999993</v>
      </c>
    </row>
    <row r="54" spans="2:10" x14ac:dyDescent="0.25">
      <c r="B54" s="185" t="s">
        <v>168</v>
      </c>
      <c r="C54" s="186"/>
      <c r="D54" s="187"/>
      <c r="E54" s="23">
        <f>((6*5)+(1*4))*5</f>
        <v>170</v>
      </c>
      <c r="F54" s="53"/>
      <c r="I54" s="116"/>
      <c r="J54" s="5"/>
    </row>
    <row r="55" spans="2:10" x14ac:dyDescent="0.25">
      <c r="B55" s="185" t="s">
        <v>169</v>
      </c>
      <c r="C55" s="186"/>
      <c r="D55" s="187"/>
      <c r="E55" s="23">
        <f>((8*5)+(1*4))*5</f>
        <v>220</v>
      </c>
      <c r="F55" s="52"/>
      <c r="I55" s="117"/>
      <c r="J55" s="5"/>
    </row>
    <row r="56" spans="2:10" x14ac:dyDescent="0.25">
      <c r="B56" s="185" t="s">
        <v>21</v>
      </c>
      <c r="C56" s="186"/>
      <c r="D56" s="187"/>
      <c r="E56" s="24">
        <v>1</v>
      </c>
      <c r="F56" s="211"/>
      <c r="G56" s="212"/>
      <c r="H56" s="51"/>
      <c r="I56" s="46"/>
      <c r="J56" s="46"/>
    </row>
    <row r="57" spans="2:10" x14ac:dyDescent="0.25">
      <c r="B57" s="185" t="s">
        <v>25</v>
      </c>
      <c r="C57" s="186"/>
      <c r="D57" s="187"/>
      <c r="E57" s="23">
        <f>(E54*E56)/E55</f>
        <v>0.77272727272727271</v>
      </c>
      <c r="I57" s="5"/>
      <c r="J57" s="5"/>
    </row>
    <row r="58" spans="2:10" x14ac:dyDescent="0.25">
      <c r="B58" s="185" t="s">
        <v>20</v>
      </c>
      <c r="C58" s="186"/>
      <c r="D58" s="187"/>
      <c r="E58" s="23">
        <f>(C53*E56)/E55</f>
        <v>0.13636363636363633</v>
      </c>
      <c r="I58" s="115"/>
      <c r="J58" s="5"/>
    </row>
    <row r="59" spans="2:10" x14ac:dyDescent="0.25">
      <c r="B59" s="185" t="s">
        <v>22</v>
      </c>
      <c r="C59" s="186"/>
      <c r="D59" s="187"/>
      <c r="E59" s="23">
        <f>(D53*E56)/E55</f>
        <v>0</v>
      </c>
      <c r="I59" s="115"/>
      <c r="J59" s="5"/>
    </row>
    <row r="60" spans="2:10" x14ac:dyDescent="0.25">
      <c r="B60" s="215" t="s">
        <v>23</v>
      </c>
      <c r="C60" s="216"/>
      <c r="D60" s="217"/>
      <c r="E60" s="27">
        <f>SUM(E58:E59)</f>
        <v>0.13636363636363633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07" t="s">
        <v>27</v>
      </c>
      <c r="C63" s="207"/>
      <c r="D63" s="207"/>
      <c r="E63" s="207"/>
    </row>
    <row r="64" spans="2:10" x14ac:dyDescent="0.25">
      <c r="B64" s="200" t="s">
        <v>28</v>
      </c>
      <c r="C64" s="200"/>
      <c r="D64" s="200"/>
      <c r="E64" s="24" t="s">
        <v>187</v>
      </c>
    </row>
    <row r="65" spans="2:9" x14ac:dyDescent="0.25">
      <c r="B65" s="185" t="s">
        <v>29</v>
      </c>
      <c r="C65" s="186"/>
      <c r="D65" s="187"/>
      <c r="E65" s="24">
        <v>44</v>
      </c>
    </row>
    <row r="66" spans="2:9" x14ac:dyDescent="0.25">
      <c r="B66" s="185" t="s">
        <v>30</v>
      </c>
      <c r="C66" s="186"/>
      <c r="D66" s="187"/>
      <c r="E66" s="24" t="s">
        <v>182</v>
      </c>
    </row>
    <row r="67" spans="2:9" x14ac:dyDescent="0.25">
      <c r="B67" s="185" t="s">
        <v>31</v>
      </c>
      <c r="C67" s="186"/>
      <c r="D67" s="187"/>
      <c r="E67" s="24">
        <v>2023</v>
      </c>
    </row>
    <row r="68" spans="2:9" x14ac:dyDescent="0.25">
      <c r="B68" s="31" t="s">
        <v>32</v>
      </c>
      <c r="C68" s="32"/>
      <c r="D68" s="33"/>
      <c r="E68" s="24">
        <v>2.5</v>
      </c>
    </row>
    <row r="69" spans="2:9" x14ac:dyDescent="0.25">
      <c r="B69" s="9"/>
      <c r="C69" s="9"/>
      <c r="D69" s="9"/>
      <c r="E69" s="26"/>
    </row>
    <row r="70" spans="2:9" x14ac:dyDescent="0.25">
      <c r="B70" s="215" t="s">
        <v>42</v>
      </c>
      <c r="C70" s="216"/>
      <c r="D70" s="216"/>
      <c r="E70" s="217"/>
    </row>
    <row r="71" spans="2:9" x14ac:dyDescent="0.25">
      <c r="B71" s="12" t="s">
        <v>35</v>
      </c>
      <c r="C71" s="34"/>
      <c r="D71" s="35">
        <v>1</v>
      </c>
      <c r="E71" s="36">
        <v>587800</v>
      </c>
    </row>
    <row r="72" spans="2:9" x14ac:dyDescent="0.25">
      <c r="B72" s="185" t="s">
        <v>36</v>
      </c>
      <c r="C72" s="186"/>
      <c r="D72" s="35">
        <v>1</v>
      </c>
      <c r="E72" s="23">
        <v>100</v>
      </c>
    </row>
    <row r="73" spans="2:9" x14ac:dyDescent="0.25">
      <c r="B73" s="185" t="s">
        <v>37</v>
      </c>
      <c r="C73" s="186"/>
      <c r="D73" s="35">
        <v>1</v>
      </c>
      <c r="E73" s="23" t="s">
        <v>44</v>
      </c>
    </row>
    <row r="74" spans="2:9" x14ac:dyDescent="0.25">
      <c r="B74" s="185" t="s">
        <v>38</v>
      </c>
      <c r="C74" s="186"/>
      <c r="D74" s="35">
        <v>1</v>
      </c>
      <c r="E74" s="23">
        <v>0</v>
      </c>
    </row>
    <row r="75" spans="2:9" x14ac:dyDescent="0.25">
      <c r="B75" s="220" t="s">
        <v>39</v>
      </c>
      <c r="C75" s="220"/>
      <c r="D75" s="35">
        <v>2</v>
      </c>
      <c r="E75" s="24">
        <v>200</v>
      </c>
    </row>
    <row r="76" spans="2:9" x14ac:dyDescent="0.25">
      <c r="B76" s="221" t="s">
        <v>40</v>
      </c>
      <c r="C76" s="222"/>
      <c r="D76" s="35">
        <v>1</v>
      </c>
      <c r="E76" s="23">
        <v>469</v>
      </c>
    </row>
    <row r="77" spans="2:9" x14ac:dyDescent="0.25">
      <c r="B77" s="218" t="s">
        <v>30</v>
      </c>
      <c r="C77" s="219"/>
      <c r="D77" s="35">
        <v>1</v>
      </c>
      <c r="E77" s="29">
        <v>6.09</v>
      </c>
    </row>
    <row r="78" spans="2:9" x14ac:dyDescent="0.25">
      <c r="B78" s="223" t="s">
        <v>160</v>
      </c>
      <c r="C78" s="223"/>
      <c r="D78" s="44">
        <v>0.15</v>
      </c>
      <c r="E78" s="36">
        <f>((E71-E81)*D78)/12</f>
        <v>5878</v>
      </c>
      <c r="I78" s="51"/>
    </row>
    <row r="79" spans="2:9" x14ac:dyDescent="0.25">
      <c r="B79" s="223" t="s">
        <v>161</v>
      </c>
      <c r="C79" s="223"/>
      <c r="D79" s="44">
        <v>0.12</v>
      </c>
      <c r="E79" s="36">
        <f>(((E71-E81)-E78)*D79)/12</f>
        <v>4643.62</v>
      </c>
      <c r="I79" s="51"/>
    </row>
    <row r="80" spans="2:9" x14ac:dyDescent="0.25">
      <c r="B80" s="218" t="s">
        <v>45</v>
      </c>
      <c r="C80" s="219"/>
      <c r="D80" s="44">
        <v>0.1</v>
      </c>
      <c r="E80" s="36">
        <v>20</v>
      </c>
    </row>
    <row r="81" spans="2:5" x14ac:dyDescent="0.25">
      <c r="B81" s="223" t="s">
        <v>41</v>
      </c>
      <c r="C81" s="223"/>
      <c r="D81" s="44">
        <v>0.2</v>
      </c>
      <c r="E81" s="36">
        <f>E71*D81</f>
        <v>117560</v>
      </c>
    </row>
    <row r="82" spans="2:5" x14ac:dyDescent="0.25">
      <c r="B82" s="31" t="s">
        <v>68</v>
      </c>
      <c r="C82" s="32"/>
      <c r="D82" s="35" t="s">
        <v>55</v>
      </c>
      <c r="E82" s="37">
        <v>5500</v>
      </c>
    </row>
    <row r="83" spans="2:5" x14ac:dyDescent="0.25">
      <c r="B83" s="9"/>
      <c r="C83" s="9"/>
      <c r="D83" s="9"/>
      <c r="E83" s="59"/>
    </row>
    <row r="84" spans="2:5" x14ac:dyDescent="0.25">
      <c r="B84" s="203" t="s">
        <v>33</v>
      </c>
      <c r="C84" s="203"/>
      <c r="D84" s="203"/>
      <c r="E84" s="203"/>
    </row>
    <row r="85" spans="2:5" x14ac:dyDescent="0.25">
      <c r="B85" s="224" t="s">
        <v>34</v>
      </c>
      <c r="C85" s="225"/>
      <c r="D85" s="225"/>
      <c r="E85" s="226"/>
    </row>
    <row r="86" spans="2:5" x14ac:dyDescent="0.25">
      <c r="B86" s="227" t="s">
        <v>47</v>
      </c>
      <c r="C86" s="228"/>
      <c r="D86" s="229"/>
      <c r="E86" s="43">
        <v>0.17</v>
      </c>
    </row>
    <row r="87" spans="2:5" ht="12" customHeight="1" x14ac:dyDescent="0.25">
      <c r="D87" s="5"/>
      <c r="E87" s="21"/>
    </row>
    <row r="88" spans="2:5" x14ac:dyDescent="0.25">
      <c r="B88" s="203" t="s">
        <v>46</v>
      </c>
      <c r="C88" s="203"/>
      <c r="D88" s="203"/>
      <c r="E88" s="203"/>
    </row>
    <row r="89" spans="2:5" x14ac:dyDescent="0.25">
      <c r="B89" s="224" t="s">
        <v>34</v>
      </c>
      <c r="C89" s="225"/>
      <c r="D89" s="225"/>
      <c r="E89" s="226"/>
    </row>
    <row r="90" spans="2:5" x14ac:dyDescent="0.25">
      <c r="B90" s="227" t="s">
        <v>47</v>
      </c>
      <c r="C90" s="228"/>
      <c r="D90" s="229"/>
      <c r="E90" s="43">
        <v>0.03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236" t="s">
        <v>50</v>
      </c>
      <c r="C92" s="236"/>
      <c r="D92" s="236"/>
      <c r="E92" s="236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3</v>
      </c>
      <c r="D94" s="61">
        <v>40000</v>
      </c>
      <c r="E94" s="45">
        <v>515</v>
      </c>
    </row>
    <row r="95" spans="2:5" x14ac:dyDescent="0.25">
      <c r="B95" s="17" t="s">
        <v>53</v>
      </c>
      <c r="C95" s="38">
        <v>1</v>
      </c>
      <c r="D95" s="61">
        <v>20000</v>
      </c>
      <c r="E95" s="45">
        <v>500</v>
      </c>
    </row>
    <row r="96" spans="2:5" x14ac:dyDescent="0.25">
      <c r="B96" s="17"/>
      <c r="C96" s="17">
        <f>C94+C95</f>
        <v>4</v>
      </c>
      <c r="D96" s="182">
        <f>D94+D95</f>
        <v>60000</v>
      </c>
      <c r="E96" s="180">
        <f>E94+E95</f>
        <v>1015</v>
      </c>
    </row>
    <row r="97" spans="2:5" x14ac:dyDescent="0.25">
      <c r="D97" s="5"/>
      <c r="E97" s="21"/>
    </row>
    <row r="98" spans="2:5" s="46" customFormat="1" x14ac:dyDescent="0.25">
      <c r="B98" s="203" t="s">
        <v>56</v>
      </c>
      <c r="C98" s="203"/>
      <c r="D98" s="203"/>
      <c r="E98" s="203"/>
    </row>
    <row r="99" spans="2:5" x14ac:dyDescent="0.25">
      <c r="B99" s="237" t="s">
        <v>57</v>
      </c>
      <c r="C99" s="237"/>
      <c r="D99" s="238" t="s">
        <v>184</v>
      </c>
      <c r="E99" s="238"/>
    </row>
    <row r="100" spans="2:5" x14ac:dyDescent="0.25">
      <c r="B100" s="62" t="s">
        <v>58</v>
      </c>
      <c r="C100" s="62"/>
      <c r="D100" s="239" t="s">
        <v>185</v>
      </c>
      <c r="E100" s="239"/>
    </row>
    <row r="101" spans="2:5" x14ac:dyDescent="0.25">
      <c r="B101" s="240" t="s">
        <v>59</v>
      </c>
      <c r="C101" s="240"/>
      <c r="D101" s="5"/>
      <c r="E101" s="21"/>
    </row>
    <row r="102" spans="2:5" x14ac:dyDescent="0.25">
      <c r="B102" s="227" t="s">
        <v>60</v>
      </c>
      <c r="C102" s="228"/>
      <c r="D102" s="229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234" t="s">
        <v>62</v>
      </c>
      <c r="C104" s="234"/>
      <c r="D104" s="48">
        <v>30</v>
      </c>
      <c r="E104" s="50">
        <v>0.2</v>
      </c>
    </row>
    <row r="105" spans="2:5" x14ac:dyDescent="0.25">
      <c r="B105" s="234" t="s">
        <v>61</v>
      </c>
      <c r="C105" s="234"/>
      <c r="D105" s="17">
        <v>0</v>
      </c>
      <c r="E105" s="50">
        <v>0</v>
      </c>
    </row>
    <row r="106" spans="2:5" x14ac:dyDescent="0.25">
      <c r="B106" s="234" t="s">
        <v>64</v>
      </c>
      <c r="C106" s="234"/>
      <c r="D106" s="17">
        <v>140</v>
      </c>
      <c r="E106" s="50">
        <v>0.2</v>
      </c>
    </row>
    <row r="107" spans="2:5" x14ac:dyDescent="0.25">
      <c r="B107" s="234" t="s">
        <v>65</v>
      </c>
      <c r="C107" s="234"/>
      <c r="D107" s="48">
        <v>0</v>
      </c>
      <c r="E107" s="20"/>
    </row>
    <row r="108" spans="2:5" x14ac:dyDescent="0.25">
      <c r="B108" s="234" t="s">
        <v>66</v>
      </c>
      <c r="C108" s="234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235" t="s">
        <v>67</v>
      </c>
      <c r="C111" s="235"/>
      <c r="D111" s="235"/>
      <c r="E111" s="235"/>
    </row>
    <row r="112" spans="2:5" x14ac:dyDescent="0.25">
      <c r="B112" s="231"/>
      <c r="C112" s="232"/>
      <c r="D112" s="233"/>
      <c r="E112" s="11" t="s">
        <v>70</v>
      </c>
    </row>
    <row r="113" spans="2:5" x14ac:dyDescent="0.25">
      <c r="B113" s="200" t="s">
        <v>179</v>
      </c>
      <c r="C113" s="200"/>
      <c r="D113" s="200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5" t="s">
        <v>71</v>
      </c>
      <c r="C116" s="216"/>
      <c r="D116" s="217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7"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  <mergeCell ref="B85:E85"/>
    <mergeCell ref="B102:D102"/>
    <mergeCell ref="B88:E88"/>
    <mergeCell ref="B86:D86"/>
    <mergeCell ref="B90:D90"/>
    <mergeCell ref="B89:E89"/>
    <mergeCell ref="B80:C80"/>
    <mergeCell ref="B84:E84"/>
    <mergeCell ref="B75:C75"/>
    <mergeCell ref="B76:C76"/>
    <mergeCell ref="B77:C77"/>
    <mergeCell ref="B78:C78"/>
    <mergeCell ref="B79:C79"/>
    <mergeCell ref="B81:C81"/>
    <mergeCell ref="B66:D66"/>
    <mergeCell ref="B67:D67"/>
    <mergeCell ref="B72:C72"/>
    <mergeCell ref="B73:C73"/>
    <mergeCell ref="B74:C74"/>
    <mergeCell ref="B70:E70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  <mergeCell ref="B20:D20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311" t="s">
        <v>164</v>
      </c>
      <c r="E2" s="311"/>
      <c r="F2" s="311"/>
      <c r="G2" s="311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41" t="s">
        <v>72</v>
      </c>
      <c r="C3" s="241"/>
      <c r="D3" s="241"/>
      <c r="E3" s="241"/>
      <c r="F3" s="241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251" t="s">
        <v>60</v>
      </c>
      <c r="C4" s="252"/>
      <c r="D4" s="252"/>
      <c r="E4" s="253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248"/>
      <c r="C5" s="249"/>
      <c r="D5" s="249"/>
      <c r="E5" s="250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254" t="s">
        <v>74</v>
      </c>
      <c r="C6" s="255"/>
      <c r="D6" s="255"/>
      <c r="E6" s="256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41" t="s">
        <v>75</v>
      </c>
      <c r="C8" s="241"/>
      <c r="D8" s="241"/>
      <c r="E8" s="241"/>
      <c r="F8" s="241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247" t="s">
        <v>76</v>
      </c>
      <c r="C9" s="247"/>
      <c r="D9" s="247"/>
      <c r="E9" s="247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247" t="s">
        <v>77</v>
      </c>
      <c r="C11" s="247"/>
      <c r="D11" s="247"/>
      <c r="E11" s="247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247" t="s">
        <v>78</v>
      </c>
      <c r="C12" s="247"/>
      <c r="D12" s="247"/>
      <c r="E12" s="247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247" t="s">
        <v>79</v>
      </c>
      <c r="C13" s="247"/>
      <c r="D13" s="247"/>
      <c r="E13" s="247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247" t="s">
        <v>80</v>
      </c>
      <c r="C14" s="247"/>
      <c r="D14" s="247"/>
      <c r="E14" s="247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7" t="s">
        <v>82</v>
      </c>
      <c r="C17" s="257"/>
      <c r="D17" s="257"/>
      <c r="E17" s="257"/>
      <c r="F17" s="257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8" t="s">
        <v>83</v>
      </c>
      <c r="C18" s="258"/>
      <c r="D18" s="258"/>
      <c r="E18" s="258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80" t="s">
        <v>84</v>
      </c>
      <c r="C19" s="280"/>
      <c r="D19" s="280"/>
      <c r="E19" s="280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41" t="s">
        <v>85</v>
      </c>
      <c r="C21" s="241"/>
      <c r="D21" s="241"/>
      <c r="E21" s="241"/>
      <c r="F21" s="241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82" t="s">
        <v>86</v>
      </c>
      <c r="C22" s="282"/>
      <c r="D22" s="282"/>
      <c r="E22" s="282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81" t="s">
        <v>87</v>
      </c>
      <c r="C23" s="281"/>
      <c r="D23" s="281"/>
      <c r="E23" s="281"/>
      <c r="F23" s="281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93"/>
      <c r="C24" s="293"/>
      <c r="D24" s="293"/>
      <c r="E24" s="293"/>
      <c r="F24" s="293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41" t="s">
        <v>93</v>
      </c>
      <c r="C25" s="241"/>
      <c r="D25" s="241"/>
      <c r="E25" s="241"/>
      <c r="F25" s="241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242" t="s">
        <v>113</v>
      </c>
      <c r="C26" s="243"/>
      <c r="D26" s="243"/>
      <c r="E26" s="243"/>
      <c r="F26" s="244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94" t="s">
        <v>97</v>
      </c>
      <c r="C27" s="243"/>
      <c r="D27" s="243"/>
      <c r="E27" s="243"/>
      <c r="F27" s="244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246"/>
      <c r="S28" s="246"/>
      <c r="T28" s="246"/>
      <c r="U28"/>
      <c r="V28"/>
      <c r="W28"/>
      <c r="X28"/>
    </row>
    <row r="29" spans="2:24" x14ac:dyDescent="0.25">
      <c r="B29" s="241" t="s">
        <v>94</v>
      </c>
      <c r="C29" s="241"/>
      <c r="D29" s="241"/>
      <c r="E29" s="241"/>
      <c r="F29" s="241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99" t="s">
        <v>88</v>
      </c>
      <c r="C30" s="300"/>
      <c r="D30" s="301"/>
      <c r="E30" s="295">
        <v>0.2</v>
      </c>
      <c r="F30" s="296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85" t="s">
        <v>89</v>
      </c>
      <c r="C31" s="286"/>
      <c r="D31" s="287"/>
      <c r="E31" s="297">
        <v>0.03</v>
      </c>
      <c r="F31" s="298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85" t="s">
        <v>90</v>
      </c>
      <c r="C32" s="286"/>
      <c r="D32" s="287"/>
      <c r="E32" s="283">
        <v>2.5000000000000001E-2</v>
      </c>
      <c r="F32" s="284"/>
      <c r="G32" s="129">
        <v>0</v>
      </c>
      <c r="H32" s="131"/>
      <c r="I32">
        <v>0</v>
      </c>
      <c r="J32" s="129">
        <v>0</v>
      </c>
      <c r="K32"/>
      <c r="L32"/>
      <c r="M32" s="245"/>
      <c r="N32" s="245"/>
      <c r="O32" s="245"/>
      <c r="P32" s="245"/>
      <c r="Q32" s="245"/>
      <c r="R32" s="245"/>
      <c r="S32" s="245"/>
      <c r="T32" s="245"/>
      <c r="U32"/>
      <c r="V32"/>
      <c r="W32"/>
      <c r="X32"/>
    </row>
    <row r="33" spans="2:24" x14ac:dyDescent="0.25">
      <c r="B33" s="285" t="s">
        <v>174</v>
      </c>
      <c r="C33" s="286"/>
      <c r="D33" s="287"/>
      <c r="E33" s="283">
        <v>3.3000000000000002E-2</v>
      </c>
      <c r="F33" s="284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5"/>
      <c r="N33" s="245"/>
      <c r="O33" s="245"/>
      <c r="P33" s="245"/>
      <c r="Q33" s="245"/>
      <c r="R33" s="245"/>
      <c r="S33" s="245"/>
      <c r="T33" s="245"/>
      <c r="U33"/>
      <c r="V33"/>
      <c r="W33"/>
      <c r="X33"/>
    </row>
    <row r="34" spans="2:24" x14ac:dyDescent="0.25">
      <c r="B34" s="285" t="s">
        <v>91</v>
      </c>
      <c r="C34" s="286"/>
      <c r="D34" s="287"/>
      <c r="E34" s="283">
        <v>0.08</v>
      </c>
      <c r="F34" s="284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8" t="s">
        <v>92</v>
      </c>
      <c r="C35" s="288"/>
      <c r="D35" s="288"/>
      <c r="E35" s="289">
        <f>SUM(E30:E34)</f>
        <v>0.36800000000000005</v>
      </c>
      <c r="F35" s="290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91" t="s">
        <v>95</v>
      </c>
      <c r="C36" s="291"/>
      <c r="D36" s="291"/>
      <c r="E36" s="291"/>
      <c r="F36" s="292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06" t="s">
        <v>96</v>
      </c>
      <c r="C37" s="206"/>
      <c r="D37" s="206"/>
      <c r="E37" s="206"/>
      <c r="F37" s="206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41" t="s">
        <v>103</v>
      </c>
      <c r="C39" s="241"/>
      <c r="D39" s="241"/>
      <c r="E39" s="241"/>
      <c r="F39" s="241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304">
        <f>G6+G22+O25</f>
        <v>2545.1508333333331</v>
      </c>
      <c r="R39" s="277"/>
      <c r="S39" s="277"/>
      <c r="T39" s="278"/>
      <c r="U39" s="275"/>
      <c r="V39" s="275"/>
      <c r="W39" s="275"/>
      <c r="X39" s="275"/>
    </row>
    <row r="40" spans="2:24" x14ac:dyDescent="0.25">
      <c r="B40" s="258" t="s">
        <v>98</v>
      </c>
      <c r="C40" s="258"/>
      <c r="D40" s="258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305"/>
      <c r="R40" s="277"/>
      <c r="S40" s="277"/>
      <c r="T40" s="279"/>
      <c r="U40" s="276"/>
      <c r="V40" s="276"/>
      <c r="W40" s="276"/>
      <c r="X40" s="276"/>
    </row>
    <row r="41" spans="2:24" x14ac:dyDescent="0.25">
      <c r="B41" s="258" t="s">
        <v>99</v>
      </c>
      <c r="C41" s="258"/>
      <c r="D41" s="258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308"/>
      <c r="N41" s="309"/>
      <c r="O41" s="310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8" t="s">
        <v>100</v>
      </c>
      <c r="C42" s="258"/>
      <c r="D42" s="258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304" t="s">
        <v>115</v>
      </c>
      <c r="N42" s="304" t="s">
        <v>116</v>
      </c>
      <c r="O42" s="304" t="s">
        <v>117</v>
      </c>
      <c r="P42" s="306" t="s">
        <v>123</v>
      </c>
      <c r="Q42" s="306" t="s">
        <v>119</v>
      </c>
      <c r="R42" s="278" t="s">
        <v>120</v>
      </c>
      <c r="S42" s="278" t="s">
        <v>121</v>
      </c>
      <c r="T42" s="278" t="s">
        <v>122</v>
      </c>
      <c r="U42" s="146"/>
      <c r="V42" s="146"/>
      <c r="W42" s="146"/>
      <c r="X42" s="146"/>
    </row>
    <row r="43" spans="2:24" ht="22.5" customHeight="1" x14ac:dyDescent="0.25">
      <c r="B43" s="258" t="s">
        <v>101</v>
      </c>
      <c r="C43" s="258"/>
      <c r="D43" s="258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305"/>
      <c r="N43" s="305"/>
      <c r="O43" s="305"/>
      <c r="P43" s="307"/>
      <c r="Q43" s="307"/>
      <c r="R43" s="278"/>
      <c r="S43" s="278"/>
      <c r="T43" s="278"/>
      <c r="U43"/>
      <c r="V43"/>
      <c r="W43"/>
      <c r="X43"/>
    </row>
    <row r="44" spans="2:24" ht="21" customHeight="1" x14ac:dyDescent="0.25">
      <c r="B44" s="320" t="s">
        <v>108</v>
      </c>
      <c r="C44" s="320"/>
      <c r="D44" s="320"/>
      <c r="E44" s="320"/>
      <c r="F44" s="320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8" t="s">
        <v>102</v>
      </c>
      <c r="C45" s="258"/>
      <c r="D45" s="258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303" t="s">
        <v>114</v>
      </c>
      <c r="R45" s="303"/>
      <c r="S45" s="303"/>
      <c r="T45" s="144"/>
      <c r="U45"/>
      <c r="V45"/>
      <c r="W45"/>
      <c r="X45"/>
    </row>
    <row r="46" spans="2:24" x14ac:dyDescent="0.25">
      <c r="B46" s="257" t="s">
        <v>104</v>
      </c>
      <c r="C46" s="257"/>
      <c r="D46" s="257"/>
      <c r="E46" s="257"/>
      <c r="F46" s="257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303"/>
      <c r="R46" s="303"/>
      <c r="S46" s="303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302" t="s">
        <v>106</v>
      </c>
      <c r="C48" s="302"/>
      <c r="D48" s="302"/>
      <c r="E48" s="302"/>
      <c r="F48" s="302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62" t="s">
        <v>136</v>
      </c>
      <c r="C49" s="263"/>
      <c r="D49" s="263"/>
      <c r="E49" s="263"/>
      <c r="F49" s="264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315" t="s">
        <v>105</v>
      </c>
      <c r="C50" s="245"/>
      <c r="D50" s="245"/>
      <c r="E50" s="245"/>
      <c r="F50" s="316"/>
      <c r="G50" s="265">
        <f>G10*2.53%</f>
        <v>0.60719999999999996</v>
      </c>
      <c r="H50"/>
      <c r="I50"/>
      <c r="J50" s="265">
        <f>J10*2.53%</f>
        <v>0.60719999999999996</v>
      </c>
      <c r="K50"/>
      <c r="L50"/>
      <c r="M50" s="245" t="s">
        <v>129</v>
      </c>
      <c r="N50" s="245"/>
      <c r="O50" s="245"/>
      <c r="P50" s="245"/>
      <c r="Q50" s="245"/>
      <c r="R50" s="245"/>
      <c r="S50" s="245"/>
      <c r="T50" s="155"/>
      <c r="U50" s="155"/>
      <c r="V50" s="155"/>
      <c r="W50" s="155"/>
      <c r="X50" s="155"/>
    </row>
    <row r="51" spans="2:24" ht="28.5" customHeight="1" x14ac:dyDescent="0.25">
      <c r="B51" s="317"/>
      <c r="C51" s="318"/>
      <c r="D51" s="318"/>
      <c r="E51" s="318"/>
      <c r="F51" s="319"/>
      <c r="G51" s="266"/>
      <c r="H51"/>
      <c r="I51"/>
      <c r="J51" s="266"/>
      <c r="K51"/>
      <c r="L51"/>
      <c r="M51" s="245"/>
      <c r="N51" s="245"/>
      <c r="O51" s="245"/>
      <c r="P51" s="245"/>
      <c r="Q51" s="245"/>
      <c r="R51" s="245"/>
      <c r="S51" s="245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270" t="s">
        <v>170</v>
      </c>
      <c r="N52" s="270"/>
      <c r="O52" s="270"/>
      <c r="P52" s="270"/>
      <c r="Q52" s="270"/>
      <c r="R52" s="270"/>
      <c r="S52" s="270"/>
      <c r="T52" s="270"/>
      <c r="U52" s="155"/>
      <c r="V52" s="155"/>
      <c r="W52" s="155"/>
      <c r="X52" s="155"/>
    </row>
    <row r="53" spans="2:24" x14ac:dyDescent="0.25">
      <c r="B53" s="204" t="s">
        <v>109</v>
      </c>
      <c r="C53" s="204"/>
      <c r="D53" s="204"/>
      <c r="E53" s="204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271" t="s">
        <v>107</v>
      </c>
      <c r="C54" s="271"/>
      <c r="D54" s="271"/>
      <c r="E54" s="271"/>
      <c r="F54" s="271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267" t="s">
        <v>130</v>
      </c>
      <c r="N54" s="268"/>
      <c r="O54" s="268"/>
      <c r="P54" s="269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272" t="s">
        <v>110</v>
      </c>
      <c r="C56" s="273"/>
      <c r="D56" s="273"/>
      <c r="E56" s="273"/>
      <c r="F56" s="274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8" t="s">
        <v>72</v>
      </c>
      <c r="C57" s="258"/>
      <c r="D57" s="258"/>
      <c r="E57" s="258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82" t="s">
        <v>75</v>
      </c>
      <c r="C58" s="282"/>
      <c r="D58" s="282"/>
      <c r="E58" s="282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82" t="s">
        <v>82</v>
      </c>
      <c r="C59" s="282"/>
      <c r="D59" s="282"/>
      <c r="E59" s="282"/>
      <c r="F59" s="124"/>
      <c r="G59" s="129">
        <v>0</v>
      </c>
      <c r="H59"/>
      <c r="I59"/>
      <c r="J59" s="129">
        <v>0</v>
      </c>
      <c r="K59"/>
      <c r="L59"/>
      <c r="M59" s="259" t="s">
        <v>102</v>
      </c>
      <c r="N59" s="260"/>
      <c r="O59" s="261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82" t="s">
        <v>85</v>
      </c>
      <c r="C60" s="282"/>
      <c r="D60" s="282"/>
      <c r="E60" s="282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85" t="s">
        <v>93</v>
      </c>
      <c r="C61" s="286"/>
      <c r="D61" s="286"/>
      <c r="E61" s="287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82" t="s">
        <v>94</v>
      </c>
      <c r="C62" s="282"/>
      <c r="D62" s="282"/>
      <c r="E62" s="282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82" t="s">
        <v>103</v>
      </c>
      <c r="C63" s="282"/>
      <c r="D63" s="282"/>
      <c r="E63" s="282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82" t="s">
        <v>112</v>
      </c>
      <c r="C64" s="282"/>
      <c r="D64" s="282"/>
      <c r="E64" s="282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312" t="s">
        <v>111</v>
      </c>
      <c r="C65" s="313"/>
      <c r="D65" s="313"/>
      <c r="E65" s="313"/>
      <c r="F65" s="314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525.93933400901142</v>
      </c>
      <c r="H67"/>
      <c r="I67"/>
      <c r="J67" s="55">
        <f>J65*Dados!E58</f>
        <v>524.38608319992045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525.93933400901142</v>
      </c>
      <c r="H68"/>
      <c r="I68"/>
      <c r="J68" s="55">
        <f>J65*Dados!E60</f>
        <v>524.38608319992045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opLeftCell="A31" zoomScaleNormal="100" workbookViewId="0">
      <selection activeCell="J59" sqref="J59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37" t="str">
        <f>Dados!B2</f>
        <v>MUNICÍPIO DE BARÃO DO TRIUNFO</v>
      </c>
      <c r="C2" s="337"/>
      <c r="D2" s="337"/>
      <c r="E2" s="337"/>
      <c r="F2" s="337"/>
      <c r="G2" s="337"/>
    </row>
    <row r="3" spans="2:13" x14ac:dyDescent="0.25">
      <c r="B3" s="341" t="s">
        <v>167</v>
      </c>
      <c r="C3" s="341"/>
      <c r="D3" s="341"/>
      <c r="E3" s="341"/>
      <c r="F3" s="341"/>
      <c r="G3" s="341"/>
    </row>
    <row r="4" spans="2:13" x14ac:dyDescent="0.25">
      <c r="B4" s="337" t="str">
        <f>Dados!C4</f>
        <v>Transporte escolar</v>
      </c>
      <c r="C4" s="337"/>
      <c r="D4" s="337"/>
      <c r="E4" s="337"/>
      <c r="F4" s="337"/>
      <c r="G4" s="337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40" t="str">
        <f>Dados!B18</f>
        <v>ITEM 19 - LINHA 19 - LINHA EMERGENCIAL ETINERARIO MUNICIPAL</v>
      </c>
      <c r="C7" s="340"/>
      <c r="D7" s="340"/>
      <c r="E7" s="340"/>
      <c r="F7" s="340"/>
      <c r="G7" s="340"/>
    </row>
    <row r="8" spans="2:13" ht="30.75" customHeight="1" x14ac:dyDescent="0.25">
      <c r="B8" s="340"/>
      <c r="C8" s="340"/>
      <c r="D8" s="340"/>
      <c r="E8" s="340"/>
      <c r="F8" s="340"/>
      <c r="G8" s="340"/>
    </row>
    <row r="9" spans="2:13" ht="15.75" customHeight="1" x14ac:dyDescent="0.25">
      <c r="B9" s="338" t="s">
        <v>162</v>
      </c>
      <c r="C9" s="339"/>
      <c r="D9" s="339"/>
      <c r="E9" s="339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3" t="s">
        <v>140</v>
      </c>
      <c r="C11" s="323"/>
      <c r="D11" s="323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21" t="s">
        <v>141</v>
      </c>
      <c r="C12" s="321"/>
      <c r="D12" s="321"/>
      <c r="E12" s="95">
        <f>(Dados!E78*Dados!E58)</f>
        <v>801.54545454545428</v>
      </c>
      <c r="F12" s="100"/>
      <c r="G12" s="98"/>
      <c r="H12" s="95">
        <f t="shared" ref="H12:H17" si="0">E12</f>
        <v>801.54545454545428</v>
      </c>
      <c r="I12" s="100"/>
      <c r="K12" s="96">
        <f t="shared" ref="K12:K17" si="1">E12</f>
        <v>801.54545454545428</v>
      </c>
      <c r="M12" s="51"/>
    </row>
    <row r="13" spans="2:13" x14ac:dyDescent="0.25">
      <c r="B13" s="321" t="s">
        <v>142</v>
      </c>
      <c r="C13" s="321"/>
      <c r="D13" s="321"/>
      <c r="E13" s="95">
        <f>Dados!E79*Dados!E58</f>
        <v>633.22090909090889</v>
      </c>
      <c r="F13" s="100"/>
      <c r="G13" s="98"/>
      <c r="H13" s="95">
        <f t="shared" si="0"/>
        <v>633.22090909090889</v>
      </c>
      <c r="I13" s="100"/>
      <c r="K13" s="96">
        <f t="shared" si="1"/>
        <v>633.22090909090889</v>
      </c>
      <c r="M13" s="51"/>
    </row>
    <row r="14" spans="2:13" x14ac:dyDescent="0.25">
      <c r="B14" s="321" t="s">
        <v>143</v>
      </c>
      <c r="C14" s="321"/>
      <c r="D14" s="321"/>
      <c r="E14" s="95">
        <f>(((Dados!E23*1)/Dados!E68)*Dados!E77)*Dados!E11</f>
        <v>3288.6000000000004</v>
      </c>
      <c r="F14" s="100"/>
      <c r="G14" s="98"/>
      <c r="H14" s="95">
        <f t="shared" si="0"/>
        <v>3288.6000000000004</v>
      </c>
      <c r="I14" s="100"/>
      <c r="K14" s="96">
        <f t="shared" si="1"/>
        <v>3288.6000000000004</v>
      </c>
    </row>
    <row r="15" spans="2:13" x14ac:dyDescent="0.25">
      <c r="B15" s="321" t="s">
        <v>46</v>
      </c>
      <c r="C15" s="321"/>
      <c r="D15" s="321"/>
      <c r="E15" s="95">
        <f>E14*Dados!E86</f>
        <v>559.06200000000013</v>
      </c>
      <c r="F15" s="100"/>
      <c r="G15" s="98"/>
      <c r="H15" s="95">
        <f t="shared" si="0"/>
        <v>559.06200000000013</v>
      </c>
      <c r="I15" s="100"/>
      <c r="K15" s="96">
        <f t="shared" si="1"/>
        <v>559.06200000000013</v>
      </c>
    </row>
    <row r="16" spans="2:13" x14ac:dyDescent="0.25">
      <c r="B16" s="321" t="s">
        <v>144</v>
      </c>
      <c r="C16" s="321"/>
      <c r="D16" s="321"/>
      <c r="E16" s="95">
        <f>E14*Dados!E86</f>
        <v>559.06200000000013</v>
      </c>
      <c r="F16" s="100"/>
      <c r="G16" s="98"/>
      <c r="H16" s="95">
        <f t="shared" si="0"/>
        <v>559.06200000000013</v>
      </c>
      <c r="I16" s="100"/>
      <c r="K16" s="96">
        <f t="shared" si="1"/>
        <v>559.06200000000013</v>
      </c>
    </row>
    <row r="17" spans="2:11" x14ac:dyDescent="0.25">
      <c r="B17" s="321" t="s">
        <v>50</v>
      </c>
      <c r="C17" s="321"/>
      <c r="D17" s="321"/>
      <c r="E17" s="95">
        <f>(((Dados!E96*Dados!C96)/Dados!D96)*Dados!E24)</f>
        <v>91.35</v>
      </c>
      <c r="F17" s="100"/>
      <c r="G17" s="98"/>
      <c r="H17" s="95">
        <f t="shared" si="0"/>
        <v>91.35</v>
      </c>
      <c r="I17" s="100"/>
      <c r="K17" s="96">
        <f t="shared" si="1"/>
        <v>91.35</v>
      </c>
    </row>
    <row r="18" spans="2:11" x14ac:dyDescent="0.25">
      <c r="B18" s="328" t="s">
        <v>92</v>
      </c>
      <c r="C18" s="328"/>
      <c r="D18" s="328"/>
      <c r="E18" s="94">
        <f>SUM(E12:E17)</f>
        <v>5932.8403636363637</v>
      </c>
      <c r="F18" s="102"/>
      <c r="G18" s="98"/>
      <c r="H18" s="94">
        <f>SUM(H12:H17)</f>
        <v>5932.8403636363637</v>
      </c>
      <c r="I18" s="102"/>
      <c r="K18" s="97">
        <f>SUM(K12:K17)</f>
        <v>5932.8403636363637</v>
      </c>
    </row>
    <row r="19" spans="2:11" x14ac:dyDescent="0.25">
      <c r="B19" s="334" t="s">
        <v>145</v>
      </c>
      <c r="C19" s="334"/>
      <c r="D19" s="334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5" t="s">
        <v>146</v>
      </c>
      <c r="C20" s="335"/>
      <c r="D20" s="335"/>
      <c r="E20" s="95">
        <f>Motorista!G67</f>
        <v>525.93933400901142</v>
      </c>
      <c r="F20" s="100"/>
      <c r="G20" s="98"/>
      <c r="H20" s="41">
        <f>E20</f>
        <v>525.93933400901142</v>
      </c>
      <c r="I20" s="108"/>
      <c r="K20" s="41">
        <f>Motorista!J67</f>
        <v>524.38608319992045</v>
      </c>
    </row>
    <row r="21" spans="2:11" x14ac:dyDescent="0.25">
      <c r="B21" s="327" t="s">
        <v>92</v>
      </c>
      <c r="C21" s="327"/>
      <c r="D21" s="327"/>
      <c r="E21" s="94">
        <f>SUM(E20:E20)</f>
        <v>525.93933400901142</v>
      </c>
      <c r="F21" s="102"/>
      <c r="G21" s="98"/>
      <c r="H21" s="58">
        <f>SUM(H20:H20)</f>
        <v>525.93933400901142</v>
      </c>
      <c r="I21" s="106"/>
      <c r="K21" s="58">
        <f>SUM(K20:K20)</f>
        <v>524.38608319992045</v>
      </c>
    </row>
    <row r="22" spans="2:11" x14ac:dyDescent="0.25">
      <c r="B22" s="323" t="s">
        <v>67</v>
      </c>
      <c r="C22" s="323"/>
      <c r="D22" s="323"/>
      <c r="E22" s="99"/>
      <c r="F22" s="99"/>
      <c r="G22" s="98"/>
      <c r="H22" s="99"/>
      <c r="I22" s="99"/>
      <c r="K22" s="99"/>
    </row>
    <row r="23" spans="2:11" x14ac:dyDescent="0.25">
      <c r="B23" s="325" t="s">
        <v>171</v>
      </c>
      <c r="C23" s="325"/>
      <c r="D23" s="325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21" t="s">
        <v>36</v>
      </c>
      <c r="C24" s="321"/>
      <c r="D24" s="321"/>
      <c r="E24" s="95">
        <f>(Dados!E72/12)*Dados!E58</f>
        <v>1.136363636363636</v>
      </c>
      <c r="F24" s="100"/>
      <c r="G24" s="98"/>
      <c r="H24" s="96">
        <f t="shared" ref="H24:H29" si="2">E24</f>
        <v>1.136363636363636</v>
      </c>
      <c r="I24" s="108"/>
      <c r="K24" s="96">
        <f t="shared" ref="K24:K29" si="3">E24</f>
        <v>1.136363636363636</v>
      </c>
    </row>
    <row r="25" spans="2:11" x14ac:dyDescent="0.25">
      <c r="B25" s="321" t="s">
        <v>38</v>
      </c>
      <c r="C25" s="321"/>
      <c r="D25" s="321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21" t="s">
        <v>37</v>
      </c>
      <c r="C26" s="321"/>
      <c r="D26" s="321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21" t="s">
        <v>147</v>
      </c>
      <c r="C27" s="321"/>
      <c r="D27" s="321"/>
      <c r="E27" s="95">
        <f>(Dados!E75/12)*Dados!E58</f>
        <v>2.272727272727272</v>
      </c>
      <c r="F27" s="100"/>
      <c r="G27" s="98"/>
      <c r="H27" s="96">
        <f t="shared" si="2"/>
        <v>2.272727272727272</v>
      </c>
      <c r="I27" s="108"/>
      <c r="K27" s="96">
        <f t="shared" si="3"/>
        <v>2.272727272727272</v>
      </c>
    </row>
    <row r="28" spans="2:11" x14ac:dyDescent="0.25">
      <c r="B28" s="321" t="s">
        <v>148</v>
      </c>
      <c r="C28" s="321"/>
      <c r="D28" s="321"/>
      <c r="E28" s="95">
        <f>(Dados!E76/12)*Dados!E58</f>
        <v>5.3295454545454533</v>
      </c>
      <c r="F28" s="100"/>
      <c r="G28" s="98"/>
      <c r="H28" s="96">
        <f t="shared" si="2"/>
        <v>5.3295454545454533</v>
      </c>
      <c r="I28" s="108"/>
      <c r="K28" s="96">
        <f t="shared" si="3"/>
        <v>5.3295454545454533</v>
      </c>
    </row>
    <row r="29" spans="2:11" x14ac:dyDescent="0.25">
      <c r="B29" s="321" t="s">
        <v>149</v>
      </c>
      <c r="C29" s="321"/>
      <c r="D29" s="321"/>
      <c r="E29" s="95">
        <f>(Dados!E82/12)*Dados!E58</f>
        <v>62.499999999999979</v>
      </c>
      <c r="F29" s="100"/>
      <c r="G29" s="98"/>
      <c r="H29" s="96">
        <f t="shared" si="2"/>
        <v>62.499999999999979</v>
      </c>
      <c r="I29" s="108"/>
      <c r="K29" s="96">
        <f t="shared" si="3"/>
        <v>62.499999999999979</v>
      </c>
    </row>
    <row r="30" spans="2:11" x14ac:dyDescent="0.25">
      <c r="B30" s="324" t="s">
        <v>150</v>
      </c>
      <c r="C30" s="324"/>
      <c r="D30" s="324"/>
      <c r="E30" s="95"/>
      <c r="F30" s="100"/>
      <c r="G30" s="98"/>
      <c r="H30" s="96"/>
      <c r="I30" s="108"/>
      <c r="K30" s="96"/>
    </row>
    <row r="31" spans="2:11" x14ac:dyDescent="0.25">
      <c r="B31" s="321" t="s">
        <v>150</v>
      </c>
      <c r="C31" s="321"/>
      <c r="D31" s="321"/>
      <c r="E31" s="95">
        <f>((E18+E21)*Dados!E113)*Dados!E60</f>
        <v>44.037134302127555</v>
      </c>
      <c r="F31" s="100"/>
      <c r="G31" s="98"/>
      <c r="H31" s="96">
        <f>((E18+E21)*Dados!E113)*Dados!E60</f>
        <v>44.037134302127555</v>
      </c>
      <c r="I31" s="108"/>
      <c r="K31" s="96">
        <f>((K18+K21)*Dados!E113)*Dados!E58</f>
        <v>44.026543955701925</v>
      </c>
    </row>
    <row r="32" spans="2:11" x14ac:dyDescent="0.25">
      <c r="B32" s="327" t="s">
        <v>92</v>
      </c>
      <c r="C32" s="327"/>
      <c r="D32" s="327"/>
      <c r="E32" s="94">
        <f>SUM(E24:E31)</f>
        <v>115.2757706657639</v>
      </c>
      <c r="F32" s="102"/>
      <c r="G32" s="98"/>
      <c r="H32" s="97">
        <f>SUM(H24:H31)</f>
        <v>115.2757706657639</v>
      </c>
      <c r="I32" s="106"/>
      <c r="K32" s="97">
        <f>SUM(K24:K31)</f>
        <v>115.26518031933827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1"/>
      <c r="C34" s="332"/>
      <c r="D34" s="333"/>
      <c r="E34" s="101">
        <f>(E32+E21+E18)*Dados!E116</f>
        <v>986.1083202466707</v>
      </c>
      <c r="F34" s="100"/>
      <c r="G34" s="98"/>
      <c r="H34" s="96">
        <f>E34</f>
        <v>986.1083202466707</v>
      </c>
      <c r="I34" s="108"/>
      <c r="K34" s="96">
        <f>(K32+K21+K18)*Dados!E116</f>
        <v>985.87374407334323</v>
      </c>
    </row>
    <row r="35" spans="2:13" x14ac:dyDescent="0.25">
      <c r="B35" s="322" t="s">
        <v>92</v>
      </c>
      <c r="C35" s="322"/>
      <c r="D35" s="322"/>
      <c r="E35" s="94">
        <f>SUM(E34)</f>
        <v>986.1083202466707</v>
      </c>
      <c r="F35" s="102"/>
      <c r="G35" s="98"/>
      <c r="H35" s="97">
        <f>SUM(H34)</f>
        <v>986.1083202466707</v>
      </c>
      <c r="I35" s="106"/>
      <c r="K35" s="97">
        <f>SUM(K34)</f>
        <v>985.87374407334323</v>
      </c>
    </row>
    <row r="36" spans="2:13" x14ac:dyDescent="0.25">
      <c r="B36" s="327" t="s">
        <v>92</v>
      </c>
      <c r="C36" s="327"/>
      <c r="D36" s="327"/>
      <c r="E36" s="94">
        <f>E35+E32+E21+E18</f>
        <v>7560.1637885578093</v>
      </c>
      <c r="F36" s="102"/>
      <c r="G36" s="98"/>
      <c r="H36" s="97">
        <f>H35+H32+H21+H18</f>
        <v>7560.1637885578093</v>
      </c>
      <c r="I36" s="106"/>
      <c r="K36" s="97">
        <f>K35+K32+K21+K18</f>
        <v>7558.3653712289652</v>
      </c>
    </row>
    <row r="37" spans="2:13" x14ac:dyDescent="0.25">
      <c r="B37" s="329" t="s">
        <v>156</v>
      </c>
      <c r="C37" s="329"/>
      <c r="D37" s="329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30" t="s">
        <v>151</v>
      </c>
      <c r="C38" s="330"/>
      <c r="D38" s="330"/>
      <c r="E38" s="95">
        <f>E36/((100-14.25)/100)</f>
        <v>8816.5175376767456</v>
      </c>
      <c r="F38" s="100"/>
      <c r="G38" s="95"/>
      <c r="H38" s="95">
        <f>H36/((100-8.65)/100)</f>
        <v>8276.0413667846842</v>
      </c>
      <c r="J38" s="17"/>
      <c r="K38" s="95">
        <f>K36/((100-7.99)/100)</f>
        <v>8214.7216294195896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670.05533286343268</v>
      </c>
      <c r="F39" s="100"/>
      <c r="G39" s="109">
        <f>Dados!D120</f>
        <v>0.03</v>
      </c>
      <c r="H39" s="95">
        <f>H38*G39</f>
        <v>248.28124100354052</v>
      </c>
      <c r="J39" s="50">
        <f>Dados!E120</f>
        <v>2.4199999999999999E-2</v>
      </c>
      <c r="K39" s="95">
        <f>K38*J39</f>
        <v>198.79626343195406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145.4725393716663</v>
      </c>
      <c r="F40" s="100"/>
      <c r="G40" s="109">
        <f>Dados!D121</f>
        <v>6.4999999999999997E-3</v>
      </c>
      <c r="H40" s="95">
        <f>H38*G40</f>
        <v>53.794268884100447</v>
      </c>
      <c r="J40" s="50">
        <f>Dados!E121</f>
        <v>5.7000000000000002E-3</v>
      </c>
      <c r="K40" s="95">
        <f>K38*J40</f>
        <v>46.82391328769166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440.82587688383728</v>
      </c>
      <c r="F41" s="100"/>
      <c r="G41" s="109">
        <f>Dados!D122</f>
        <v>0.05</v>
      </c>
      <c r="H41" s="95">
        <f>H38*G41</f>
        <v>413.80206833923421</v>
      </c>
      <c r="J41" s="111">
        <f>Dados!E122</f>
        <v>0.05</v>
      </c>
      <c r="K41" s="95">
        <f>K38*J41</f>
        <v>410.73608147097951</v>
      </c>
    </row>
    <row r="42" spans="2:13" x14ac:dyDescent="0.25">
      <c r="B42" s="336" t="s">
        <v>155</v>
      </c>
      <c r="C42" s="336"/>
      <c r="D42" s="336"/>
      <c r="E42" s="94">
        <f>SUM(E39:E41)</f>
        <v>1256.3537491189363</v>
      </c>
      <c r="F42" s="102"/>
      <c r="G42" s="110">
        <f>SUM(G39:G41)</f>
        <v>8.6499999999999994E-2</v>
      </c>
      <c r="H42" s="97">
        <f>SUM(H39:H41)</f>
        <v>715.87757822687513</v>
      </c>
      <c r="I42" s="5"/>
      <c r="J42" s="112">
        <f>SUM(J39:J41)</f>
        <v>7.9899999999999999E-2</v>
      </c>
      <c r="K42" s="94">
        <f>SUM(K39:K41)</f>
        <v>656.35625819062523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6" t="s">
        <v>111</v>
      </c>
      <c r="C44" s="326"/>
      <c r="D44" s="326"/>
      <c r="E44" s="58">
        <f>E42+E36</f>
        <v>8816.5175376767456</v>
      </c>
      <c r="F44" s="106"/>
      <c r="H44" s="97">
        <f>H36+H42</f>
        <v>8276.0413667846842</v>
      </c>
      <c r="I44" s="5"/>
      <c r="J44" s="5"/>
      <c r="K44" s="97">
        <f>K42+K36</f>
        <v>8214.7216294195896</v>
      </c>
    </row>
    <row r="45" spans="2:13" x14ac:dyDescent="0.25">
      <c r="D45" s="5" t="s">
        <v>163</v>
      </c>
      <c r="E45" s="58">
        <f>E44/Dados!E24</f>
        <v>6.5307537316124042</v>
      </c>
      <c r="F45" s="106"/>
      <c r="H45" s="97">
        <f>H44/Dados!E24</f>
        <v>6.130401012433099</v>
      </c>
      <c r="K45" s="97">
        <f>K44/Dados!E24</f>
        <v>6.0849789847552511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A1wPMFCUqvFMwGFrD3l0haqHhhdV4hUm1cAOjP7BFuvBJFLpLgq8+Qm0WwKBlP2+n1+w/pWzTAyW9fSKoyH2Ew==" saltValue="ZuxpxPLnseiXwqHQluoV4A==" spinCount="100000" sheet="1" formatCells="0" formatColumns="0" formatRows="0" insertColumns="0" insertRows="0" insertHyperlinks="0" deleteColumns="0" deleteRows="0" sort="0" autoFilter="0" pivotTables="0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2024-01-17T13:34:28Z</cp:lastPrinted>
  <dcterms:created xsi:type="dcterms:W3CDTF">2017-01-21T11:53:29Z</dcterms:created>
  <dcterms:modified xsi:type="dcterms:W3CDTF">2024-01-29T15:34:52Z</dcterms:modified>
</cp:coreProperties>
</file>