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s de Preços\"/>
    </mc:Choice>
  </mc:AlternateContent>
  <xr:revisionPtr revIDLastSave="0" documentId="13_ncr:1_{EDE40820-1AEE-4EB9-86B1-5004A0B8DAD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<sst xmlns="http://schemas.openxmlformats.org/spreadsheetml/2006/main" count="289" uniqueCount="192">
  <si>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</si>
  <si>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</si>
  <si>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</si>
  <si>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</si>
  <si>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</si>
  <si>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</si>
  <si>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</si>
  <si>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</si>
  <si>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</si>
  <si>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</si>
  <si>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</si>
  <si>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</si>
  <si>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</si>
  <si>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</si>
  <si>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</si>
  <si>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</si>
  <si>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</si>
  <si>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</si>
  <si>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</si>
  <si>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</si>
  <si>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</si>
  <si>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</si>
  <si>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</si>
  <si>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</si>
  <si>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</si>
  <si>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</si>
  <si>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</si>
  <si>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</si>
  <si>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</si>
  <si>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</si>
  <si>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</si>
  <si>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</si>
  <si>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</si>
  <si>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</si>
  <si>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</si>
  <si>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</si>
  <si>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</si>
  <si>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</si>
  <si>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</si>
  <si>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</si>
  <si>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</si>
  <si>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</si>
  <si>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</si>
  <si>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</si>
  <si>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</si>
  <si>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</si>
  <si>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</si>
  <si>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</si>
  <si>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</si>
  <si>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</si>
  <si>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</si>
  <si>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</si>
  <si>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</si>
  <si>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</si>
  <si>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</si>
  <si>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</si>
  <si>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</si>
  <si>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</si>
  <si>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</si>
  <si>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</si>
  <si>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</si>
  <si>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</si>
  <si>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</si>
  <si>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</si>
  <si>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</si>
  <si>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</si>
  <si>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</si>
  <si>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</si>
  <si>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</si>
  <si>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</si>
  <si>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</si>
  <si>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</si>
  <si>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</si>
  <si>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</si>
  <si>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</si>
  <si>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</si>
  <si>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</si>
  <si>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</si>
  <si>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</si>
  <si>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</si>
  <si>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</si>
  <si>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</si>
  <si>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</si>
  <si>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</si>
  <si>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</si>
  <si>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</si>
  <si>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</si>
  <si>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</si>
  <si>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</si>
  <si>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</si>
  <si>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</si>
  <si>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</si>
  <si>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</si>
  <si>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</si>
  <si>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</si>
  <si>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</si>
  <si>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</si>
  <si>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</si>
  <si>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</si>
  <si>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</si>
  <si>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</si>
  <si>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</si>
  <si>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</si>
  <si>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</si>
  <si>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</si>
  <si>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</si>
  <si>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</si>
  <si>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</si>
  <si>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</si>
  <si>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</si>
  <si>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</si>
  <si>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</si>
  <si>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</si>
  <si>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</si>
  <si>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</si>
  <si>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</si>
  <si>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</si>
  <si>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</si>
  <si>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</si>
  <si>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</si>
  <si>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</si>
  <si>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</si>
  <si>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</si>
  <si>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</si>
  <si>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</si>
  <si>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</si>
  <si>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</si>
  <si>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</si>
  <si>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</si>
  <si>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</si>
  <si>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</si>
  <si>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</si>
  <si>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</si>
  <si>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</si>
  <si>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</si>
  <si>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</si>
  <si>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</si>
  <si>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</si>
  <si>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</si>
  <si>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</si>
  <si>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</si>
  <si>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</si>
  <si>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</si>
  <si>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</si>
  <si>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</si>
  <si>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</si>
  <si>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</si>
  <si>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</si>
  <si>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</si>
  <si>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</si>
  <si>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</si>
  <si>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</si>
  <si>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</si>
  <si>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</si>
  <si>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</si>
  <si>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</si>
  <si>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</si>
  <si>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</si>
  <si>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</si>
  <si>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</si>
  <si>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</si>
  <si>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</si>
  <si>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</si>
  <si>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</si>
  <si>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</si>
  <si>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</si>
  <si>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</si>
  <si>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</si>
  <si>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</si>
  <si>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</si>
  <si>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</si>
  <si>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</si>
  <si>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</si>
  <si>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</si>
  <si>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</si>
  <si>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</si>
  <si>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</si>
  <si>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</si>
  <si>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</si>
  <si>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</si>
  <si>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</si>
  <si>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</si>
  <si>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</si>
  <si>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</si>
  <si>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</si>
  <si>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</si>
  <si>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</si>
  <si>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DADOS DA CONTRATAÇÃO: LINHA 16</t>
  </si>
  <si>
    <t>ITEM 16 - LINHA 16 - LINHA EMERGENCIAL ETINERARIO MUNICIPAL</t>
  </si>
  <si>
    <t>BAR DO ALEMÃO/OLMIRO</t>
  </si>
  <si>
    <t xml:space="preserve">MANHA </t>
  </si>
  <si>
    <t>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</si>
</sst>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11" zoomScaleNormal="100" zoomScaleSheetLayoutView="100" workbookViewId="0">
      <selection activeCell="L84" sqref="L84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187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186</v>
      </c>
    </row>
    <row r="10" spans="2:9" x14ac:dyDescent="0.25">
      <c r="B10" s="216" t="s">
        <v>2</v>
      </c>
      <c r="C10" s="216"/>
      <c r="D10" s="216"/>
      <c r="E10" s="7">
        <v>11</v>
      </c>
    </row>
    <row r="11" spans="2:9" x14ac:dyDescent="0.25">
      <c r="B11" s="216" t="s">
        <v>3</v>
      </c>
      <c r="C11" s="216"/>
      <c r="D11" s="216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190</v>
      </c>
      <c r="C15" s="187"/>
      <c r="D15" s="236">
        <v>16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188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B20" s="239" t="s">
        <v>189</v>
      </c>
      <c r="C20" s="240"/>
      <c r="D20" s="240"/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27</v>
      </c>
      <c r="D23" s="42">
        <v>27</v>
      </c>
      <c r="E23" s="42">
        <f>C23+D23</f>
        <v>54</v>
      </c>
    </row>
    <row r="24" spans="2:9" x14ac:dyDescent="0.25">
      <c r="B24" s="12" t="s">
        <v>24</v>
      </c>
      <c r="C24" s="93">
        <f>C23*E11</f>
        <v>405</v>
      </c>
      <c r="D24" s="42">
        <f>D23*E11</f>
        <v>405</v>
      </c>
      <c r="E24" s="42">
        <f>C24+D24</f>
        <v>810</v>
      </c>
    </row>
    <row r="25" spans="2:9" x14ac:dyDescent="0.25">
      <c r="B25" s="12" t="s">
        <v>55</v>
      </c>
      <c r="C25" s="93">
        <f>C23*E9</f>
        <v>5022</v>
      </c>
      <c r="D25" s="42">
        <f>D23*E9</f>
        <v>5022</v>
      </c>
      <c r="E25" s="42">
        <f>C25+D25</f>
        <v>10044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/>
      <c r="D31" s="177"/>
      <c r="E31" s="13">
        <f>D31-C31</f>
        <v>0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7" t="s">
        <v>9</v>
      </c>
      <c r="C33" s="228"/>
      <c r="D33" s="229"/>
      <c r="E33" s="14">
        <f>E29+E30+E31+E32</f>
        <v>8.3333333333333315E-2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0</v>
      </c>
      <c r="D39" s="19">
        <v>0</v>
      </c>
      <c r="E39" s="19">
        <f>C39+D39</f>
        <v>0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8.3333333333333315E-2</v>
      </c>
      <c r="D41" s="179">
        <f>SUM(D37:D39)</f>
        <v>0</v>
      </c>
      <c r="E41" s="20">
        <f>SUM(E37:E40)</f>
        <v>8.3333333333333315E-2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</v>
      </c>
      <c r="D47" s="48">
        <f>D39*24</f>
        <v>0</v>
      </c>
      <c r="E47" s="48">
        <f>E31*24</f>
        <v>0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1.9999999999999996</v>
      </c>
      <c r="D49" s="180">
        <f>SUM(D45:D48)</f>
        <v>0</v>
      </c>
      <c r="E49" s="180">
        <f>SUM(E45:E48)</f>
        <v>1.9999999999999996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29.999999999999993</v>
      </c>
      <c r="D53" s="22">
        <f>(D45+D46+D47+D48)*E11</f>
        <v>0</v>
      </c>
      <c r="E53" s="23">
        <f>C53+D53</f>
        <v>29.999999999999993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0.13636363636363633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0.13636363636363633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191</v>
      </c>
    </row>
    <row r="65" spans="2:9" x14ac:dyDescent="0.25">
      <c r="B65" s="188" t="s">
        <v>29</v>
      </c>
      <c r="C65" s="211"/>
      <c r="D65" s="212"/>
      <c r="E65" s="24">
        <v>16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2023</v>
      </c>
    </row>
    <row r="68" spans="2:9" x14ac:dyDescent="0.25">
      <c r="B68" s="31" t="s">
        <v>32</v>
      </c>
      <c r="C68" s="32"/>
      <c r="D68" s="33"/>
      <c r="E68" s="24">
        <v>3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282490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200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6.09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2824.8999999999996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2231.6709999999998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56498</v>
      </c>
    </row>
    <row r="82" spans="2:5" x14ac:dyDescent="0.25">
      <c r="B82" s="31" t="s">
        <v>68</v>
      </c>
      <c r="C82" s="32"/>
      <c r="D82" s="35" t="s">
        <v>55</v>
      </c>
      <c r="E82" s="37">
        <v>2500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373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300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673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41" t="s">
        <v>164</v>
      </c>
      <c r="E2" s="241"/>
      <c r="F2" s="241"/>
      <c r="G2" s="24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8" t="s">
        <v>72</v>
      </c>
      <c r="C3" s="268"/>
      <c r="D3" s="268"/>
      <c r="E3" s="268"/>
      <c r="F3" s="268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5" t="s">
        <v>60</v>
      </c>
      <c r="C4" s="316"/>
      <c r="D4" s="316"/>
      <c r="E4" s="317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2"/>
      <c r="C5" s="313"/>
      <c r="D5" s="313"/>
      <c r="E5" s="314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8" t="s">
        <v>74</v>
      </c>
      <c r="C6" s="319"/>
      <c r="D6" s="319"/>
      <c r="E6" s="320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8" t="s">
        <v>75</v>
      </c>
      <c r="C8" s="268"/>
      <c r="D8" s="268"/>
      <c r="E8" s="268"/>
      <c r="F8" s="268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1" t="s">
        <v>76</v>
      </c>
      <c r="C9" s="311"/>
      <c r="D9" s="311"/>
      <c r="E9" s="311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1" t="s">
        <v>77</v>
      </c>
      <c r="C11" s="311"/>
      <c r="D11" s="311"/>
      <c r="E11" s="311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1" t="s">
        <v>78</v>
      </c>
      <c r="C12" s="311"/>
      <c r="D12" s="311"/>
      <c r="E12" s="311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1" t="s">
        <v>79</v>
      </c>
      <c r="C13" s="311"/>
      <c r="D13" s="311"/>
      <c r="E13" s="311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1" t="s">
        <v>80</v>
      </c>
      <c r="C14" s="311"/>
      <c r="D14" s="311"/>
      <c r="E14" s="311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5" t="s">
        <v>83</v>
      </c>
      <c r="C18" s="255"/>
      <c r="D18" s="255"/>
      <c r="E18" s="255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8" t="s">
        <v>85</v>
      </c>
      <c r="C21" s="268"/>
      <c r="D21" s="268"/>
      <c r="E21" s="268"/>
      <c r="F21" s="268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8" t="s">
        <v>86</v>
      </c>
      <c r="C22" s="248"/>
      <c r="D22" s="248"/>
      <c r="E22" s="248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5"/>
      <c r="C24" s="285"/>
      <c r="D24" s="285"/>
      <c r="E24" s="285"/>
      <c r="F24" s="285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8" t="s">
        <v>93</v>
      </c>
      <c r="C25" s="268"/>
      <c r="D25" s="268"/>
      <c r="E25" s="268"/>
      <c r="F25" s="268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9" t="s">
        <v>113</v>
      </c>
      <c r="C26" s="287"/>
      <c r="D26" s="287"/>
      <c r="E26" s="287"/>
      <c r="F26" s="288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6" t="s">
        <v>97</v>
      </c>
      <c r="C27" s="287"/>
      <c r="D27" s="287"/>
      <c r="E27" s="287"/>
      <c r="F27" s="288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10"/>
      <c r="S28" s="310"/>
      <c r="T28" s="310"/>
      <c r="U28"/>
      <c r="V28"/>
      <c r="W28"/>
      <c r="X28"/>
    </row>
    <row r="29" spans="2:24" x14ac:dyDescent="0.25">
      <c r="B29" s="268" t="s">
        <v>94</v>
      </c>
      <c r="C29" s="268"/>
      <c r="D29" s="268"/>
      <c r="E29" s="268"/>
      <c r="F29" s="268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5" t="s">
        <v>88</v>
      </c>
      <c r="C30" s="276"/>
      <c r="D30" s="277"/>
      <c r="E30" s="269">
        <v>0.2</v>
      </c>
      <c r="F30" s="270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5" t="s">
        <v>89</v>
      </c>
      <c r="C31" s="246"/>
      <c r="D31" s="247"/>
      <c r="E31" s="271">
        <v>0.03</v>
      </c>
      <c r="F31" s="272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5" t="s">
        <v>90</v>
      </c>
      <c r="C32" s="246"/>
      <c r="D32" s="247"/>
      <c r="E32" s="273">
        <v>2.5000000000000001E-2</v>
      </c>
      <c r="F32" s="274"/>
      <c r="G32" s="129">
        <v>0</v>
      </c>
      <c r="H32" s="131"/>
      <c r="I32">
        <v>0</v>
      </c>
      <c r="J32" s="129">
        <v>0</v>
      </c>
      <c r="K32"/>
      <c r="L32"/>
      <c r="M32" s="250"/>
      <c r="N32" s="250"/>
      <c r="O32" s="250"/>
      <c r="P32" s="250"/>
      <c r="Q32" s="250"/>
      <c r="R32" s="250"/>
      <c r="S32" s="250"/>
      <c r="T32" s="250"/>
      <c r="U32"/>
      <c r="V32"/>
      <c r="W32"/>
      <c r="X32"/>
    </row>
    <row r="33" spans="2:24" x14ac:dyDescent="0.25">
      <c r="B33" s="245" t="s">
        <v>174</v>
      </c>
      <c r="C33" s="246"/>
      <c r="D33" s="247"/>
      <c r="E33" s="273">
        <v>3.3000000000000002E-2</v>
      </c>
      <c r="F33" s="27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50"/>
      <c r="N33" s="250"/>
      <c r="O33" s="250"/>
      <c r="P33" s="250"/>
      <c r="Q33" s="250"/>
      <c r="R33" s="250"/>
      <c r="S33" s="250"/>
      <c r="T33" s="250"/>
      <c r="U33"/>
      <c r="V33"/>
      <c r="W33"/>
      <c r="X33"/>
    </row>
    <row r="34" spans="2:24" x14ac:dyDescent="0.25">
      <c r="B34" s="245" t="s">
        <v>91</v>
      </c>
      <c r="C34" s="246"/>
      <c r="D34" s="247"/>
      <c r="E34" s="273">
        <v>0.08</v>
      </c>
      <c r="F34" s="27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0" t="s">
        <v>92</v>
      </c>
      <c r="C35" s="280"/>
      <c r="D35" s="280"/>
      <c r="E35" s="281">
        <f>SUM(E30:E34)</f>
        <v>0.36800000000000005</v>
      </c>
      <c r="F35" s="282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3" t="s">
        <v>95</v>
      </c>
      <c r="C36" s="283"/>
      <c r="D36" s="283"/>
      <c r="E36" s="283"/>
      <c r="F36" s="284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40" t="s">
        <v>96</v>
      </c>
      <c r="C37" s="240"/>
      <c r="D37" s="240"/>
      <c r="E37" s="240"/>
      <c r="F37" s="240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8" t="s">
        <v>103</v>
      </c>
      <c r="C39" s="268"/>
      <c r="D39" s="268"/>
      <c r="E39" s="268"/>
      <c r="F39" s="268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61">
        <f>G6+G22+O25</f>
        <v>2545.1508333333331</v>
      </c>
      <c r="R39" s="291"/>
      <c r="S39" s="291"/>
      <c r="T39" s="259"/>
      <c r="U39" s="289"/>
      <c r="V39" s="289"/>
      <c r="W39" s="289"/>
      <c r="X39" s="289"/>
    </row>
    <row r="40" spans="2:24" x14ac:dyDescent="0.25">
      <c r="B40" s="255" t="s">
        <v>98</v>
      </c>
      <c r="C40" s="255"/>
      <c r="D40" s="255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2"/>
      <c r="R40" s="291"/>
      <c r="S40" s="291"/>
      <c r="T40" s="292"/>
      <c r="U40" s="290"/>
      <c r="V40" s="290"/>
      <c r="W40" s="290"/>
      <c r="X40" s="290"/>
    </row>
    <row r="41" spans="2:24" x14ac:dyDescent="0.25">
      <c r="B41" s="255" t="s">
        <v>99</v>
      </c>
      <c r="C41" s="255"/>
      <c r="D41" s="255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5"/>
      <c r="N41" s="266"/>
      <c r="O41" s="26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5" t="s">
        <v>100</v>
      </c>
      <c r="C42" s="255"/>
      <c r="D42" s="255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61" t="s">
        <v>115</v>
      </c>
      <c r="N42" s="261" t="s">
        <v>116</v>
      </c>
      <c r="O42" s="261" t="s">
        <v>117</v>
      </c>
      <c r="P42" s="263" t="s">
        <v>123</v>
      </c>
      <c r="Q42" s="263" t="s">
        <v>119</v>
      </c>
      <c r="R42" s="259" t="s">
        <v>120</v>
      </c>
      <c r="S42" s="259" t="s">
        <v>121</v>
      </c>
      <c r="T42" s="259" t="s">
        <v>122</v>
      </c>
      <c r="U42" s="146"/>
      <c r="V42" s="146"/>
      <c r="W42" s="146"/>
      <c r="X42" s="146"/>
    </row>
    <row r="43" spans="2:24" ht="22.5" customHeight="1" x14ac:dyDescent="0.25">
      <c r="B43" s="255" t="s">
        <v>101</v>
      </c>
      <c r="C43" s="255"/>
      <c r="D43" s="255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2"/>
      <c r="N43" s="262"/>
      <c r="O43" s="262"/>
      <c r="P43" s="264"/>
      <c r="Q43" s="264"/>
      <c r="R43" s="259"/>
      <c r="S43" s="259"/>
      <c r="T43" s="259"/>
      <c r="U43"/>
      <c r="V43"/>
      <c r="W43"/>
      <c r="X43"/>
    </row>
    <row r="44" spans="2:24" ht="21" customHeight="1" x14ac:dyDescent="0.25">
      <c r="B44" s="256" t="s">
        <v>108</v>
      </c>
      <c r="C44" s="256"/>
      <c r="D44" s="256"/>
      <c r="E44" s="256"/>
      <c r="F44" s="256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5" t="s">
        <v>102</v>
      </c>
      <c r="C45" s="255"/>
      <c r="D45" s="255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60" t="s">
        <v>114</v>
      </c>
      <c r="R45" s="260"/>
      <c r="S45" s="260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60"/>
      <c r="R46" s="260"/>
      <c r="S46" s="26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8" t="s">
        <v>106</v>
      </c>
      <c r="C48" s="258"/>
      <c r="D48" s="258"/>
      <c r="E48" s="258"/>
      <c r="F48" s="258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6" t="s">
        <v>136</v>
      </c>
      <c r="C49" s="297"/>
      <c r="D49" s="297"/>
      <c r="E49" s="297"/>
      <c r="F49" s="298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9" t="s">
        <v>105</v>
      </c>
      <c r="C50" s="250"/>
      <c r="D50" s="250"/>
      <c r="E50" s="250"/>
      <c r="F50" s="251"/>
      <c r="G50" s="299">
        <f>G10*2.53%</f>
        <v>0.60719999999999996</v>
      </c>
      <c r="H50"/>
      <c r="I50"/>
      <c r="J50" s="299">
        <f>J10*2.53%</f>
        <v>0.60719999999999996</v>
      </c>
      <c r="K50"/>
      <c r="L50"/>
      <c r="M50" s="250" t="s">
        <v>129</v>
      </c>
      <c r="N50" s="250"/>
      <c r="O50" s="250"/>
      <c r="P50" s="250"/>
      <c r="Q50" s="250"/>
      <c r="R50" s="250"/>
      <c r="S50" s="250"/>
      <c r="T50" s="155"/>
      <c r="U50" s="155"/>
      <c r="V50" s="155"/>
      <c r="W50" s="155"/>
      <c r="X50" s="155"/>
    </row>
    <row r="51" spans="2:24" ht="28.5" customHeight="1" x14ac:dyDescent="0.25">
      <c r="B51" s="252"/>
      <c r="C51" s="253"/>
      <c r="D51" s="253"/>
      <c r="E51" s="253"/>
      <c r="F51" s="254"/>
      <c r="G51" s="300"/>
      <c r="H51"/>
      <c r="I51"/>
      <c r="J51" s="300"/>
      <c r="K51"/>
      <c r="L51"/>
      <c r="M51" s="250"/>
      <c r="N51" s="250"/>
      <c r="O51" s="250"/>
      <c r="P51" s="250"/>
      <c r="Q51" s="250"/>
      <c r="R51" s="250"/>
      <c r="S51" s="25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4" t="s">
        <v>170</v>
      </c>
      <c r="N52" s="304"/>
      <c r="O52" s="304"/>
      <c r="P52" s="304"/>
      <c r="Q52" s="304"/>
      <c r="R52" s="304"/>
      <c r="S52" s="304"/>
      <c r="T52" s="304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5" t="s">
        <v>107</v>
      </c>
      <c r="C54" s="305"/>
      <c r="D54" s="305"/>
      <c r="E54" s="305"/>
      <c r="F54" s="305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1" t="s">
        <v>130</v>
      </c>
      <c r="N54" s="302"/>
      <c r="O54" s="302"/>
      <c r="P54" s="303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6" t="s">
        <v>110</v>
      </c>
      <c r="C56" s="307"/>
      <c r="D56" s="307"/>
      <c r="E56" s="307"/>
      <c r="F56" s="308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5" t="s">
        <v>72</v>
      </c>
      <c r="C57" s="255"/>
      <c r="D57" s="255"/>
      <c r="E57" s="255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8" t="s">
        <v>75</v>
      </c>
      <c r="C58" s="248"/>
      <c r="D58" s="248"/>
      <c r="E58" s="248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8" t="s">
        <v>82</v>
      </c>
      <c r="C59" s="248"/>
      <c r="D59" s="248"/>
      <c r="E59" s="248"/>
      <c r="F59" s="124"/>
      <c r="G59" s="129">
        <v>0</v>
      </c>
      <c r="H59"/>
      <c r="I59"/>
      <c r="J59" s="129">
        <v>0</v>
      </c>
      <c r="K59"/>
      <c r="L59"/>
      <c r="M59" s="293" t="s">
        <v>102</v>
      </c>
      <c r="N59" s="294"/>
      <c r="O59" s="295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8" t="s">
        <v>85</v>
      </c>
      <c r="C60" s="248"/>
      <c r="D60" s="248"/>
      <c r="E60" s="248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5" t="s">
        <v>93</v>
      </c>
      <c r="C61" s="246"/>
      <c r="D61" s="246"/>
      <c r="E61" s="24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8" t="s">
        <v>94</v>
      </c>
      <c r="C62" s="248"/>
      <c r="D62" s="248"/>
      <c r="E62" s="248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8" t="s">
        <v>103</v>
      </c>
      <c r="C63" s="248"/>
      <c r="D63" s="248"/>
      <c r="E63" s="248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8" t="s">
        <v>112</v>
      </c>
      <c r="C64" s="248"/>
      <c r="D64" s="248"/>
      <c r="E64" s="248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2" t="s">
        <v>111</v>
      </c>
      <c r="C65" s="243"/>
      <c r="D65" s="243"/>
      <c r="E65" s="243"/>
      <c r="F65" s="24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525.93933400901142</v>
      </c>
      <c r="H67"/>
      <c r="I67"/>
      <c r="J67" s="55">
        <f>J65*Dados!E58</f>
        <v>524.38608319992045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525.93933400901142</v>
      </c>
      <c r="H68"/>
      <c r="I68"/>
      <c r="J68" s="55">
        <f>J65*Dados!E60</f>
        <v>524.38608319992045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31" zoomScaleNormal="100" workbookViewId="0">
      <selection activeCell="N55" sqref="N55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1" t="str">
        <f>Dados!B2</f>
        <v>MUNICÍPIO DE BARÃO DO TRIUNFO</v>
      </c>
      <c r="C2" s="321"/>
      <c r="D2" s="321"/>
      <c r="E2" s="321"/>
      <c r="F2" s="321"/>
      <c r="G2" s="321"/>
    </row>
    <row r="3" spans="2:13" x14ac:dyDescent="0.25">
      <c r="B3" s="326" t="s">
        <v>167</v>
      </c>
      <c r="C3" s="326"/>
      <c r="D3" s="326"/>
      <c r="E3" s="326"/>
      <c r="F3" s="326"/>
      <c r="G3" s="326"/>
    </row>
    <row r="4" spans="2:13" x14ac:dyDescent="0.25">
      <c r="B4" s="321" t="str">
        <f>Dados!C4</f>
        <v>Transporte escolar</v>
      </c>
      <c r="C4" s="321"/>
      <c r="D4" s="321"/>
      <c r="E4" s="321"/>
      <c r="F4" s="321"/>
      <c r="G4" s="32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5" t="str">
        <f>Dados!B18</f>
        <v>ITEM 16 - LINHA 16 - LINHA EMERGENCIAL ETINERARIO MUNICIPAL</v>
      </c>
      <c r="C7" s="325"/>
      <c r="D7" s="325"/>
      <c r="E7" s="325"/>
      <c r="F7" s="325"/>
      <c r="G7" s="325"/>
    </row>
    <row r="8" spans="2:13" ht="30.75" customHeight="1" x14ac:dyDescent="0.25">
      <c r="B8" s="325"/>
      <c r="C8" s="325"/>
      <c r="D8" s="325"/>
      <c r="E8" s="325"/>
      <c r="F8" s="325"/>
      <c r="G8" s="325"/>
    </row>
    <row r="9" spans="2:13" ht="15.75" customHeight="1" x14ac:dyDescent="0.25">
      <c r="B9" s="322" t="s">
        <v>162</v>
      </c>
      <c r="C9" s="323"/>
      <c r="D9" s="323"/>
      <c r="E9" s="323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4" t="s">
        <v>140</v>
      </c>
      <c r="C11" s="324"/>
      <c r="D11" s="324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5" t="s">
        <v>141</v>
      </c>
      <c r="C12" s="335"/>
      <c r="D12" s="335"/>
      <c r="E12" s="95">
        <f>(Dados!E78*Dados!E58)</f>
        <v>385.21363636363623</v>
      </c>
      <c r="F12" s="100"/>
      <c r="G12" s="98"/>
      <c r="H12" s="95">
        <f t="shared" ref="H12:H17" si="0">E12</f>
        <v>385.21363636363623</v>
      </c>
      <c r="I12" s="100"/>
      <c r="K12" s="96">
        <f t="shared" ref="K12:K17" si="1">E12</f>
        <v>385.21363636363623</v>
      </c>
      <c r="M12" s="51"/>
    </row>
    <row r="13" spans="2:13" x14ac:dyDescent="0.25">
      <c r="B13" s="335" t="s">
        <v>142</v>
      </c>
      <c r="C13" s="335"/>
      <c r="D13" s="335"/>
      <c r="E13" s="95">
        <f>Dados!E79*Dados!E58</f>
        <v>304.31877272727263</v>
      </c>
      <c r="F13" s="100"/>
      <c r="G13" s="98"/>
      <c r="H13" s="95">
        <f t="shared" si="0"/>
        <v>304.31877272727263</v>
      </c>
      <c r="I13" s="100"/>
      <c r="K13" s="96">
        <f t="shared" si="1"/>
        <v>304.31877272727263</v>
      </c>
      <c r="M13" s="51"/>
    </row>
    <row r="14" spans="2:13" x14ac:dyDescent="0.25">
      <c r="B14" s="335" t="s">
        <v>143</v>
      </c>
      <c r="C14" s="335"/>
      <c r="D14" s="335"/>
      <c r="E14" s="95">
        <f>(((Dados!E23*1)/Dados!E68)*Dados!E77)*Dados!E11</f>
        <v>1644.3000000000002</v>
      </c>
      <c r="F14" s="100"/>
      <c r="G14" s="98"/>
      <c r="H14" s="95">
        <f t="shared" si="0"/>
        <v>1644.3000000000002</v>
      </c>
      <c r="I14" s="100"/>
      <c r="K14" s="96">
        <f t="shared" si="1"/>
        <v>1644.3000000000002</v>
      </c>
    </row>
    <row r="15" spans="2:13" x14ac:dyDescent="0.25">
      <c r="B15" s="335" t="s">
        <v>46</v>
      </c>
      <c r="C15" s="335"/>
      <c r="D15" s="335"/>
      <c r="E15" s="95">
        <f>E14*Dados!E86</f>
        <v>279.53100000000006</v>
      </c>
      <c r="F15" s="100"/>
      <c r="G15" s="98"/>
      <c r="H15" s="95">
        <f t="shared" si="0"/>
        <v>279.53100000000006</v>
      </c>
      <c r="I15" s="100"/>
      <c r="K15" s="96">
        <f t="shared" si="1"/>
        <v>279.53100000000006</v>
      </c>
    </row>
    <row r="16" spans="2:13" x14ac:dyDescent="0.25">
      <c r="B16" s="335" t="s">
        <v>144</v>
      </c>
      <c r="C16" s="335"/>
      <c r="D16" s="335"/>
      <c r="E16" s="95">
        <f>E14*Dados!E86</f>
        <v>279.53100000000006</v>
      </c>
      <c r="F16" s="100"/>
      <c r="G16" s="98"/>
      <c r="H16" s="95">
        <f t="shared" si="0"/>
        <v>279.53100000000006</v>
      </c>
      <c r="I16" s="100"/>
      <c r="K16" s="96">
        <f t="shared" si="1"/>
        <v>279.53100000000006</v>
      </c>
    </row>
    <row r="17" spans="2:11" x14ac:dyDescent="0.25">
      <c r="B17" s="335" t="s">
        <v>50</v>
      </c>
      <c r="C17" s="335"/>
      <c r="D17" s="335"/>
      <c r="E17" s="95">
        <f>(((Dados!E96*Dados!C96)/Dados!D96)*Dados!E24)</f>
        <v>36.341999999999999</v>
      </c>
      <c r="F17" s="100"/>
      <c r="G17" s="98"/>
      <c r="H17" s="95">
        <f t="shared" si="0"/>
        <v>36.341999999999999</v>
      </c>
      <c r="I17" s="100"/>
      <c r="K17" s="96">
        <f t="shared" si="1"/>
        <v>36.341999999999999</v>
      </c>
    </row>
    <row r="18" spans="2:11" x14ac:dyDescent="0.25">
      <c r="B18" s="329" t="s">
        <v>92</v>
      </c>
      <c r="C18" s="329"/>
      <c r="D18" s="329"/>
      <c r="E18" s="94">
        <f>SUM(E12:E17)</f>
        <v>2929.2364090909091</v>
      </c>
      <c r="F18" s="102"/>
      <c r="G18" s="98"/>
      <c r="H18" s="94">
        <f>SUM(H12:H17)</f>
        <v>2929.2364090909091</v>
      </c>
      <c r="I18" s="102"/>
      <c r="K18" s="97">
        <f>SUM(K12:K17)</f>
        <v>2929.2364090909091</v>
      </c>
    </row>
    <row r="19" spans="2:11" x14ac:dyDescent="0.25">
      <c r="B19" s="336" t="s">
        <v>145</v>
      </c>
      <c r="C19" s="336"/>
      <c r="D19" s="336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7" t="s">
        <v>146</v>
      </c>
      <c r="C20" s="337"/>
      <c r="D20" s="337"/>
      <c r="E20" s="95">
        <f>Motorista!G67</f>
        <v>525.93933400901142</v>
      </c>
      <c r="F20" s="100"/>
      <c r="G20" s="98"/>
      <c r="H20" s="41">
        <f>E20</f>
        <v>525.93933400901142</v>
      </c>
      <c r="I20" s="108"/>
      <c r="K20" s="41">
        <f>Motorista!J67</f>
        <v>524.38608319992045</v>
      </c>
    </row>
    <row r="21" spans="2:11" x14ac:dyDescent="0.25">
      <c r="B21" s="328" t="s">
        <v>92</v>
      </c>
      <c r="C21" s="328"/>
      <c r="D21" s="328"/>
      <c r="E21" s="94">
        <f>SUM(E20:E20)</f>
        <v>525.93933400901142</v>
      </c>
      <c r="F21" s="102"/>
      <c r="G21" s="98"/>
      <c r="H21" s="58">
        <f>SUM(H20:H20)</f>
        <v>525.93933400901142</v>
      </c>
      <c r="I21" s="106"/>
      <c r="K21" s="58">
        <f>SUM(K20:K20)</f>
        <v>524.38608319992045</v>
      </c>
    </row>
    <row r="22" spans="2:11" x14ac:dyDescent="0.25">
      <c r="B22" s="324" t="s">
        <v>67</v>
      </c>
      <c r="C22" s="324"/>
      <c r="D22" s="324"/>
      <c r="E22" s="99"/>
      <c r="F22" s="99"/>
      <c r="G22" s="98"/>
      <c r="H22" s="99"/>
      <c r="I22" s="99"/>
      <c r="K22" s="99"/>
    </row>
    <row r="23" spans="2:11" x14ac:dyDescent="0.25">
      <c r="B23" s="341" t="s">
        <v>171</v>
      </c>
      <c r="C23" s="341"/>
      <c r="D23" s="341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5" t="s">
        <v>36</v>
      </c>
      <c r="C24" s="335"/>
      <c r="D24" s="335"/>
      <c r="E24" s="95">
        <f>(Dados!E72/12)*Dados!E58</f>
        <v>1.136363636363636</v>
      </c>
      <c r="F24" s="100"/>
      <c r="G24" s="98"/>
      <c r="H24" s="96">
        <f t="shared" ref="H24:H29" si="2">E24</f>
        <v>1.136363636363636</v>
      </c>
      <c r="I24" s="108"/>
      <c r="K24" s="96">
        <f t="shared" ref="K24:K29" si="3">E24</f>
        <v>1.136363636363636</v>
      </c>
    </row>
    <row r="25" spans="2:11" x14ac:dyDescent="0.25">
      <c r="B25" s="335" t="s">
        <v>38</v>
      </c>
      <c r="C25" s="335"/>
      <c r="D25" s="335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5" t="s">
        <v>37</v>
      </c>
      <c r="C26" s="335"/>
      <c r="D26" s="335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5" t="s">
        <v>147</v>
      </c>
      <c r="C27" s="335"/>
      <c r="D27" s="335"/>
      <c r="E27" s="95">
        <f>(Dados!E75/12)*Dados!E58</f>
        <v>2.272727272727272</v>
      </c>
      <c r="F27" s="100"/>
      <c r="G27" s="98"/>
      <c r="H27" s="96">
        <f t="shared" si="2"/>
        <v>2.272727272727272</v>
      </c>
      <c r="I27" s="108"/>
      <c r="K27" s="96">
        <f t="shared" si="3"/>
        <v>2.272727272727272</v>
      </c>
    </row>
    <row r="28" spans="2:11" x14ac:dyDescent="0.25">
      <c r="B28" s="335" t="s">
        <v>148</v>
      </c>
      <c r="C28" s="335"/>
      <c r="D28" s="335"/>
      <c r="E28" s="95">
        <f>(Dados!E76/12)*Dados!E58</f>
        <v>5.3295454545454533</v>
      </c>
      <c r="F28" s="100"/>
      <c r="G28" s="98"/>
      <c r="H28" s="96">
        <f t="shared" si="2"/>
        <v>5.3295454545454533</v>
      </c>
      <c r="I28" s="108"/>
      <c r="K28" s="96">
        <f t="shared" si="3"/>
        <v>5.3295454545454533</v>
      </c>
    </row>
    <row r="29" spans="2:11" x14ac:dyDescent="0.25">
      <c r="B29" s="335" t="s">
        <v>149</v>
      </c>
      <c r="C29" s="335"/>
      <c r="D29" s="335"/>
      <c r="E29" s="95">
        <f>(Dados!E82/12)*Dados!E58</f>
        <v>28.409090909090903</v>
      </c>
      <c r="F29" s="100"/>
      <c r="G29" s="98"/>
      <c r="H29" s="96">
        <f t="shared" si="2"/>
        <v>28.409090909090903</v>
      </c>
      <c r="I29" s="108"/>
      <c r="K29" s="96">
        <f t="shared" si="3"/>
        <v>28.409090909090903</v>
      </c>
    </row>
    <row r="30" spans="2:11" x14ac:dyDescent="0.25">
      <c r="B30" s="340" t="s">
        <v>150</v>
      </c>
      <c r="C30" s="340"/>
      <c r="D30" s="340"/>
      <c r="E30" s="95"/>
      <c r="F30" s="100"/>
      <c r="G30" s="98"/>
      <c r="H30" s="96"/>
      <c r="I30" s="108"/>
      <c r="K30" s="96"/>
    </row>
    <row r="31" spans="2:11" x14ac:dyDescent="0.25">
      <c r="B31" s="335" t="s">
        <v>150</v>
      </c>
      <c r="C31" s="335"/>
      <c r="D31" s="335"/>
      <c r="E31" s="95">
        <f>((E18+E21)*Dados!E113)*Dados!E60</f>
        <v>23.558016430226726</v>
      </c>
      <c r="F31" s="100"/>
      <c r="G31" s="98"/>
      <c r="H31" s="96">
        <f>((E18+E21)*Dados!E113)*Dados!E60</f>
        <v>23.558016430226726</v>
      </c>
      <c r="I31" s="108"/>
      <c r="K31" s="96">
        <f>((K18+K21)*Dados!E113)*Dados!E58</f>
        <v>23.547426083801106</v>
      </c>
    </row>
    <row r="32" spans="2:11" x14ac:dyDescent="0.25">
      <c r="B32" s="328" t="s">
        <v>92</v>
      </c>
      <c r="C32" s="328"/>
      <c r="D32" s="328"/>
      <c r="E32" s="94">
        <f>SUM(E24:E31)</f>
        <v>60.705743702953995</v>
      </c>
      <c r="F32" s="102"/>
      <c r="G32" s="98"/>
      <c r="H32" s="97">
        <f>SUM(H24:H31)</f>
        <v>60.705743702953995</v>
      </c>
      <c r="I32" s="106"/>
      <c r="K32" s="97">
        <f>SUM(K24:K31)</f>
        <v>60.695153356528373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2"/>
      <c r="C34" s="333"/>
      <c r="D34" s="334"/>
      <c r="E34" s="101">
        <f>(E32+E21+E18)*Dados!E116</f>
        <v>527.38222302043118</v>
      </c>
      <c r="F34" s="100"/>
      <c r="G34" s="98"/>
      <c r="H34" s="96">
        <f>E34</f>
        <v>527.38222302043118</v>
      </c>
      <c r="I34" s="108"/>
      <c r="K34" s="96">
        <f>(K32+K21+K18)*Dados!E116</f>
        <v>527.14764684710372</v>
      </c>
    </row>
    <row r="35" spans="2:13" x14ac:dyDescent="0.25">
      <c r="B35" s="339" t="s">
        <v>92</v>
      </c>
      <c r="C35" s="339"/>
      <c r="D35" s="339"/>
      <c r="E35" s="94">
        <f>SUM(E34)</f>
        <v>527.38222302043118</v>
      </c>
      <c r="F35" s="102"/>
      <c r="G35" s="98"/>
      <c r="H35" s="97">
        <f>SUM(H34)</f>
        <v>527.38222302043118</v>
      </c>
      <c r="I35" s="106"/>
      <c r="K35" s="97">
        <f>SUM(K34)</f>
        <v>527.14764684710372</v>
      </c>
    </row>
    <row r="36" spans="2:13" x14ac:dyDescent="0.25">
      <c r="B36" s="328" t="s">
        <v>92</v>
      </c>
      <c r="C36" s="328"/>
      <c r="D36" s="328"/>
      <c r="E36" s="94">
        <f>E35+E32+E21+E18</f>
        <v>4043.2637098233058</v>
      </c>
      <c r="F36" s="102"/>
      <c r="G36" s="98"/>
      <c r="H36" s="97">
        <f>H35+H32+H21+H18</f>
        <v>4043.2637098233058</v>
      </c>
      <c r="I36" s="106"/>
      <c r="K36" s="97">
        <f>K35+K32+K21+K18</f>
        <v>4041.4652924944617</v>
      </c>
    </row>
    <row r="37" spans="2:13" x14ac:dyDescent="0.25">
      <c r="B37" s="330" t="s">
        <v>156</v>
      </c>
      <c r="C37" s="330"/>
      <c r="D37" s="330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1" t="s">
        <v>151</v>
      </c>
      <c r="C38" s="331"/>
      <c r="D38" s="331"/>
      <c r="E38" s="95">
        <f>E36/((100-14.25)/100)</f>
        <v>4715.1763379863623</v>
      </c>
      <c r="F38" s="100"/>
      <c r="G38" s="95"/>
      <c r="H38" s="95">
        <f>H36/((100-8.65)/100)</f>
        <v>4426.1233824009914</v>
      </c>
      <c r="J38" s="17"/>
      <c r="K38" s="95">
        <f>K36/((100-7.99)/100)</f>
        <v>4392.4196201439645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358.35340168696354</v>
      </c>
      <c r="F39" s="100"/>
      <c r="G39" s="109">
        <f>Dados!D120</f>
        <v>0.03</v>
      </c>
      <c r="H39" s="95">
        <f>H38*G39</f>
        <v>132.78370147202975</v>
      </c>
      <c r="J39" s="50">
        <f>Dados!E120</f>
        <v>2.4199999999999999E-2</v>
      </c>
      <c r="K39" s="95">
        <f>K38*J39</f>
        <v>106.29655480748394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77.800409576774982</v>
      </c>
      <c r="F40" s="100"/>
      <c r="G40" s="109">
        <f>Dados!D121</f>
        <v>6.4999999999999997E-3</v>
      </c>
      <c r="H40" s="95">
        <f>H38*G40</f>
        <v>28.769801985606442</v>
      </c>
      <c r="J40" s="50">
        <f>Dados!E121</f>
        <v>5.7000000000000002E-3</v>
      </c>
      <c r="K40" s="95">
        <f>K38*J40</f>
        <v>25.036791834820598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235.75881689931813</v>
      </c>
      <c r="F41" s="100"/>
      <c r="G41" s="109">
        <f>Dados!D122</f>
        <v>0.05</v>
      </c>
      <c r="H41" s="95">
        <f>H38*G41</f>
        <v>221.30616912004959</v>
      </c>
      <c r="J41" s="111">
        <f>Dados!E122</f>
        <v>0.05</v>
      </c>
      <c r="K41" s="95">
        <f>K38*J41</f>
        <v>219.62098100719822</v>
      </c>
    </row>
    <row r="42" spans="2:13" x14ac:dyDescent="0.25">
      <c r="B42" s="338" t="s">
        <v>155</v>
      </c>
      <c r="C42" s="338"/>
      <c r="D42" s="338"/>
      <c r="E42" s="94">
        <f>SUM(E39:E41)</f>
        <v>671.91262816305664</v>
      </c>
      <c r="F42" s="102"/>
      <c r="G42" s="110">
        <f>SUM(G39:G41)</f>
        <v>8.6499999999999994E-2</v>
      </c>
      <c r="H42" s="97">
        <f>SUM(H39:H41)</f>
        <v>382.85967257768579</v>
      </c>
      <c r="I42" s="5"/>
      <c r="J42" s="112">
        <f>SUM(J39:J41)</f>
        <v>7.9899999999999999E-2</v>
      </c>
      <c r="K42" s="94">
        <f>SUM(K39:K41)</f>
        <v>350.95432764950277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7" t="s">
        <v>111</v>
      </c>
      <c r="C44" s="327"/>
      <c r="D44" s="327"/>
      <c r="E44" s="58">
        <f>E42+E36</f>
        <v>4715.1763379863623</v>
      </c>
      <c r="F44" s="106"/>
      <c r="H44" s="97">
        <f>H36+H42</f>
        <v>4426.1233824009914</v>
      </c>
      <c r="I44" s="5"/>
      <c r="J44" s="5"/>
      <c r="K44" s="97">
        <f>K42+K36</f>
        <v>4392.4196201439645</v>
      </c>
    </row>
    <row r="45" spans="2:13" x14ac:dyDescent="0.25">
      <c r="D45" s="5" t="s">
        <v>163</v>
      </c>
      <c r="E45" s="58">
        <f>E44/Dados!E24</f>
        <v>5.8212053555387193</v>
      </c>
      <c r="F45" s="106"/>
      <c r="H45" s="97">
        <f>H44/Dados!E24</f>
        <v>5.4643498548160387</v>
      </c>
      <c r="K45" s="97">
        <f>K44/Dados!E24</f>
        <v>5.422740271782672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rLQSeXe3SgQKAOvcJM9n034a1mvqiUgXQtakcY5mrvt8FmSGZOnveJtsCIKtRfbawkLBuuy8uRZGHNQMQ8qHqQ==" saltValue="7hH4yC9dct8JMNz8s/qYaw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2024-01-17T13:35:45Z</cp:lastPrinted>
  <dcterms:created xsi:type="dcterms:W3CDTF">2017-01-21T11:53:29Z</dcterms:created>
  <dcterms:modified xsi:type="dcterms:W3CDTF">2024-01-29T15:07:39Z</dcterms:modified>
</cp:coreProperties>
</file>