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5924E4A8-3FCE-46A2-A162-8813EAC087EF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1" i="1" l="1"/>
  <c r="G10" i="3" l="1"/>
  <c r="E96" i="1" l="1"/>
  <c r="D96" i="1"/>
  <c r="C96" i="1"/>
  <c r="E48" i="1"/>
  <c r="D48" i="1"/>
  <c r="C48" i="1"/>
  <c r="C47" i="1"/>
  <c r="D38" i="1"/>
  <c r="C40" i="1"/>
  <c r="E40" i="1" s="1"/>
  <c r="C39" i="1" l="1"/>
  <c r="E23" i="1"/>
  <c r="D46" i="1"/>
  <c r="E14" i="4" l="1"/>
  <c r="E16" i="4" s="1"/>
  <c r="G11" i="3"/>
  <c r="E54" i="1"/>
  <c r="D47" i="1"/>
  <c r="D37" i="1"/>
  <c r="D41" i="1" s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 32 passageiros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<sst xmlns="http://schemas.openxmlformats.org/spreadsheetml/2006/main" count="288" uniqueCount="191">
  <si>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</si>
  <si>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</si>
  <si>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</si>
  <si>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</si>
  <si>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</si>
  <si>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</si>
  <si>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</si>
  <si>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</si>
  <si>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</si>
  <si>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</si>
  <si>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</si>
  <si>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</si>
  <si>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</si>
  <si>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</si>
  <si>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</si>
  <si>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</si>
  <si>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</si>
  <si>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</si>
  <si>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</si>
  <si>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</si>
  <si>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</si>
  <si>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</si>
  <si>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</si>
  <si>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</si>
  <si>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</si>
  <si>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</si>
  <si>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</si>
  <si>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</si>
  <si>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</si>
  <si>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</si>
  <si>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</si>
  <si>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</si>
  <si>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</si>
  <si>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</si>
  <si>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</si>
  <si>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</si>
  <si>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</si>
  <si>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</si>
  <si>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</si>
  <si>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</si>
  <si>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</si>
  <si>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</si>
  <si>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</si>
  <si>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</si>
  <si>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</si>
  <si>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</si>
  <si>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</si>
  <si>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</si>
  <si>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</si>
  <si>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</si>
  <si>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</si>
  <si>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</si>
  <si>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</si>
  <si>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</si>
  <si>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</si>
  <si>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</si>
  <si>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</si>
  <si>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</si>
  <si>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</si>
  <si>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</si>
  <si>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</si>
  <si>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</si>
  <si>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</si>
  <si>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</si>
  <si>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</si>
  <si>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</si>
  <si>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</si>
  <si>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</si>
  <si>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</si>
  <si>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</si>
  <si>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</si>
  <si>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</si>
  <si>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</si>
  <si>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</si>
  <si>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</si>
  <si>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</si>
  <si>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</si>
  <si>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</si>
  <si>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</si>
  <si>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</si>
  <si>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</si>
  <si>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</si>
  <si>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</si>
  <si>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</si>
  <si>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</si>
  <si>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</si>
  <si>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</si>
  <si>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</si>
  <si>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</si>
  <si>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</si>
  <si>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</si>
  <si>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</si>
  <si>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</si>
  <si>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</si>
  <si>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</si>
  <si>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</si>
  <si>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</si>
  <si>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</si>
  <si>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</si>
  <si>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</si>
  <si>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</si>
  <si>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</si>
  <si>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</si>
  <si>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</si>
  <si>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</si>
  <si>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</si>
  <si>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</si>
  <si>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</si>
  <si>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</si>
  <si>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</si>
  <si>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</si>
  <si>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</si>
  <si>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</si>
  <si>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</si>
  <si>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</si>
  <si>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</si>
  <si>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</si>
  <si>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</si>
  <si>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</si>
  <si>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</si>
  <si>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</si>
  <si>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</si>
  <si>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</si>
  <si>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</si>
  <si>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</si>
  <si>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</si>
  <si>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</si>
  <si>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</si>
  <si>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</si>
  <si>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</si>
  <si>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</si>
  <si>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</si>
  <si>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</si>
  <si>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</si>
  <si>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</si>
  <si>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</si>
  <si>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</si>
  <si>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</si>
  <si>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</si>
  <si>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</si>
  <si>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</si>
  <si>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</si>
  <si>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</si>
  <si>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</si>
  <si>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</si>
  <si>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</si>
  <si>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</si>
  <si>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</si>
  <si>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</si>
  <si>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</si>
  <si>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</si>
  <si>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</si>
  <si>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</si>
  <si>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</si>
  <si>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</si>
  <si>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</si>
  <si>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</si>
  <si>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</si>
  <si>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</si>
  <si>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</si>
  <si>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</si>
  <si>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</si>
  <si>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</si>
  <si>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</si>
  <si>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</si>
  <si>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</si>
  <si>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</si>
  <si>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</si>
  <si>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</si>
  <si>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</si>
  <si>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</si>
  <si>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</si>
  <si>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</si>
  <si>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</si>
  <si>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</si>
  <si>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</si>
  <si>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</si>
  <si>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</si>
  <si>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</si>
  <si>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</si>
  <si>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</si>
  <si>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</si>
  <si>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</si>
  <si>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</si>
  <si>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</si>
  <si>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</si>
  <si>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MANHA-TARDE</t>
  </si>
  <si>
    <t>Rota 2 - turno da tarde</t>
  </si>
  <si>
    <t>ITEM 05 - LINHA 05 - LINHA BRANDÃO</t>
  </si>
  <si>
    <t>MICRO</t>
  </si>
  <si>
    <t>DADOS DA CONTRATAÇÃO: LINHA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</si>
</sst>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zoomScaleNormal="100" zoomScaleSheetLayoutView="100" workbookViewId="0">
      <selection activeCell="H21" sqref="H21"/>
    </sheetView>
  </sheetViews>
  <sheetFormatPr defaultRowHeight="15.75" x14ac:dyDescent="0.25"/>
  <cols>
    <col min="1" max="1" width="9.140625" style="4"/>
    <col min="2" max="2" width="12.140625" style="4" customWidth="1"/>
    <col min="3" max="3" width="30.570312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190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201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18.27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186</v>
      </c>
      <c r="C15" s="200"/>
      <c r="D15" s="201">
        <v>30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188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187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822.15</v>
      </c>
      <c r="D24" s="42">
        <f>D23*E11</f>
        <v>822.15</v>
      </c>
      <c r="E24" s="42">
        <f>C24+D24</f>
        <v>1644.3</v>
      </c>
    </row>
    <row r="25" spans="2:9" x14ac:dyDescent="0.25">
      <c r="B25" s="12" t="s">
        <v>55</v>
      </c>
      <c r="C25" s="93">
        <f>C23*E9</f>
        <v>9045</v>
      </c>
      <c r="D25" s="42">
        <f>D23*E9</f>
        <v>9045</v>
      </c>
      <c r="E25" s="42">
        <f>C25+D25</f>
        <v>18090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0.28125</v>
      </c>
      <c r="D29" s="13">
        <v>0.3263888888888889</v>
      </c>
      <c r="E29" s="13">
        <f>D29-C29</f>
        <v>4.5138888888888895E-2</v>
      </c>
    </row>
    <row r="30" spans="2:9" x14ac:dyDescent="0.25">
      <c r="B30" s="12" t="s">
        <v>15</v>
      </c>
      <c r="C30" s="13">
        <v>0.49652777777777773</v>
      </c>
      <c r="D30" s="13">
        <v>0.53819444444444442</v>
      </c>
      <c r="E30" s="13">
        <f>D30-C30</f>
        <v>4.1666666666666685E-2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>
        <v>0</v>
      </c>
      <c r="D32" s="177">
        <v>0</v>
      </c>
      <c r="E32" s="13">
        <v>0</v>
      </c>
    </row>
    <row r="33" spans="2:9" x14ac:dyDescent="0.25">
      <c r="B33" s="191" t="s">
        <v>9</v>
      </c>
      <c r="C33" s="192"/>
      <c r="D33" s="193"/>
      <c r="E33" s="14">
        <f>E29+E30+E31+E32</f>
        <v>0.12847222222222221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4.5138888888888895E-2</v>
      </c>
      <c r="D37" s="19">
        <f>(C30-D29)-D109</f>
        <v>6.5972222222222168E-2</v>
      </c>
      <c r="E37" s="18">
        <f>C37+D37</f>
        <v>0.11111111111111106</v>
      </c>
    </row>
    <row r="38" spans="2:9" x14ac:dyDescent="0.25">
      <c r="B38" s="17" t="str">
        <f>B30</f>
        <v>Rota 2</v>
      </c>
      <c r="C38" s="19">
        <f>D30-C30</f>
        <v>4.1666666666666685E-2</v>
      </c>
      <c r="D38" s="18">
        <f>(C31-D30)-D109</f>
        <v>6.5972222222222279E-2</v>
      </c>
      <c r="E38" s="18">
        <f>C38+D38</f>
        <v>0.10763888888888896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0.12847222222222221</v>
      </c>
      <c r="D41" s="179">
        <f>SUM(D37:D39)</f>
        <v>0.13194444444444445</v>
      </c>
      <c r="E41" s="20">
        <f>SUM(E37:E40)</f>
        <v>0.26041666666666663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1.0833333333333335</v>
      </c>
      <c r="D45" s="48">
        <f>D37*24</f>
        <v>1.5833333333333321</v>
      </c>
      <c r="E45" s="48">
        <f>C45+D45</f>
        <v>2.6666666666666656</v>
      </c>
    </row>
    <row r="46" spans="2:9" x14ac:dyDescent="0.25">
      <c r="B46" s="17" t="str">
        <f>B38</f>
        <v>Rota 2</v>
      </c>
      <c r="C46" s="48">
        <f>E30*24</f>
        <v>1.0000000000000004</v>
      </c>
      <c r="D46" s="48">
        <f>D38*24</f>
        <v>1.5833333333333348</v>
      </c>
      <c r="E46" s="48">
        <f>C46+D46</f>
        <v>2.5833333333333353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3.083333333333333</v>
      </c>
      <c r="D49" s="180">
        <f>SUM(D45:D48)</f>
        <v>3.166666666666667</v>
      </c>
      <c r="E49" s="180">
        <f>SUM(E45:E48)</f>
        <v>6.25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56.332499999999996</v>
      </c>
      <c r="D53" s="22">
        <f>(D45+D46+D47+D48)*E11</f>
        <v>57.855000000000004</v>
      </c>
      <c r="E53" s="23">
        <f>C53+D53</f>
        <v>114.1875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0.25605681818181819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0.26297727272727273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0.51903409090909092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189</v>
      </c>
    </row>
    <row r="65" spans="2:9" x14ac:dyDescent="0.25">
      <c r="B65" s="185" t="s">
        <v>29</v>
      </c>
      <c r="C65" s="186"/>
      <c r="D65" s="187"/>
      <c r="E65" s="24">
        <v>32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588800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5888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4651.5199999999995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117760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6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500</v>
      </c>
    </row>
    <row r="96" spans="2:5" x14ac:dyDescent="0.25">
      <c r="B96" s="17"/>
      <c r="C96" s="17">
        <f>C94+C95</f>
        <v>8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184</v>
      </c>
      <c r="E99" s="236"/>
    </row>
    <row r="100" spans="2:5" x14ac:dyDescent="0.25">
      <c r="B100" s="62" t="s">
        <v>58</v>
      </c>
      <c r="C100" s="62"/>
      <c r="D100" s="237" t="s">
        <v>185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987.58258443542138</v>
      </c>
      <c r="H67"/>
      <c r="I67"/>
      <c r="J67" s="55">
        <f>J65*Dados!E58</f>
        <v>984.66596772865103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2001.8565900718002</v>
      </c>
      <c r="H68"/>
      <c r="I68"/>
      <c r="J68" s="55">
        <f>J65*Dados!E60</f>
        <v>1995.9445291796978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22" zoomScaleNormal="100" workbookViewId="0">
      <selection activeCell="K48" sqref="K48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05 - LINHA 05 - LINHA BRANDÃO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1507.6625454545456</v>
      </c>
      <c r="F12" s="100"/>
      <c r="G12" s="98"/>
      <c r="H12" s="95">
        <f t="shared" ref="H12:H17" si="0">E12</f>
        <v>1507.6625454545456</v>
      </c>
      <c r="I12" s="100"/>
      <c r="K12" s="96">
        <f t="shared" ref="K12:K17" si="1">E12</f>
        <v>1507.6625454545456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1191.0534109090909</v>
      </c>
      <c r="F13" s="100"/>
      <c r="G13" s="98"/>
      <c r="H13" s="95">
        <f t="shared" si="0"/>
        <v>1191.0534109090909</v>
      </c>
      <c r="I13" s="100"/>
      <c r="K13" s="96">
        <f t="shared" si="1"/>
        <v>1191.0534109090909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4005.5147999999999</v>
      </c>
      <c r="F14" s="100"/>
      <c r="G14" s="98"/>
      <c r="H14" s="95">
        <f t="shared" si="0"/>
        <v>4005.5147999999999</v>
      </c>
      <c r="I14" s="100"/>
      <c r="K14" s="96">
        <f t="shared" si="1"/>
        <v>4005.5147999999999</v>
      </c>
    </row>
    <row r="15" spans="2:13" x14ac:dyDescent="0.25">
      <c r="B15" s="320" t="s">
        <v>46</v>
      </c>
      <c r="C15" s="320"/>
      <c r="D15" s="320"/>
      <c r="E15" s="95">
        <f>E14*Dados!E86</f>
        <v>680.93751600000007</v>
      </c>
      <c r="F15" s="100"/>
      <c r="G15" s="98"/>
      <c r="H15" s="95">
        <f t="shared" si="0"/>
        <v>680.93751600000007</v>
      </c>
      <c r="I15" s="100"/>
      <c r="K15" s="96">
        <f t="shared" si="1"/>
        <v>680.93751600000007</v>
      </c>
    </row>
    <row r="16" spans="2:13" x14ac:dyDescent="0.25">
      <c r="B16" s="320" t="s">
        <v>144</v>
      </c>
      <c r="C16" s="320"/>
      <c r="D16" s="320"/>
      <c r="E16" s="95">
        <f>E14*Dados!E86</f>
        <v>680.93751600000007</v>
      </c>
      <c r="F16" s="100"/>
      <c r="G16" s="98"/>
      <c r="H16" s="95">
        <f t="shared" si="0"/>
        <v>680.93751600000007</v>
      </c>
      <c r="I16" s="100"/>
      <c r="K16" s="96">
        <f t="shared" si="1"/>
        <v>680.93751600000007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222.52859999999998</v>
      </c>
      <c r="F17" s="100"/>
      <c r="G17" s="98"/>
      <c r="H17" s="95">
        <f t="shared" si="0"/>
        <v>222.52859999999998</v>
      </c>
      <c r="I17" s="100"/>
      <c r="K17" s="96">
        <f t="shared" si="1"/>
        <v>222.52859999999998</v>
      </c>
    </row>
    <row r="18" spans="2:11" x14ac:dyDescent="0.25">
      <c r="B18" s="327" t="s">
        <v>92</v>
      </c>
      <c r="C18" s="327"/>
      <c r="D18" s="327"/>
      <c r="E18" s="94">
        <f>SUM(E12:E17)</f>
        <v>8288.6343883636364</v>
      </c>
      <c r="F18" s="102"/>
      <c r="G18" s="98"/>
      <c r="H18" s="94">
        <f>SUM(H12:H17)</f>
        <v>8288.6343883636364</v>
      </c>
      <c r="I18" s="102"/>
      <c r="K18" s="97">
        <f>SUM(K12:K17)</f>
        <v>8288.6343883636364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987.58258443542138</v>
      </c>
      <c r="F20" s="100"/>
      <c r="G20" s="98"/>
      <c r="H20" s="41">
        <f>E20</f>
        <v>987.58258443542138</v>
      </c>
      <c r="I20" s="108"/>
      <c r="K20" s="41">
        <f>Motorista!J67</f>
        <v>984.66596772865103</v>
      </c>
    </row>
    <row r="21" spans="2:11" x14ac:dyDescent="0.25">
      <c r="B21" s="326" t="s">
        <v>92</v>
      </c>
      <c r="C21" s="326"/>
      <c r="D21" s="326"/>
      <c r="E21" s="94">
        <f>SUM(E20:E20)</f>
        <v>987.58258443542138</v>
      </c>
      <c r="F21" s="102"/>
      <c r="G21" s="98"/>
      <c r="H21" s="58">
        <f>SUM(H20:H20)</f>
        <v>987.58258443542138</v>
      </c>
      <c r="I21" s="106"/>
      <c r="K21" s="58">
        <f>SUM(K20:K20)</f>
        <v>984.66596772865103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2.1338068181818186</v>
      </c>
      <c r="F24" s="100"/>
      <c r="G24" s="98"/>
      <c r="H24" s="96">
        <f t="shared" ref="H24:H29" si="2">E24</f>
        <v>2.1338068181818186</v>
      </c>
      <c r="I24" s="108"/>
      <c r="K24" s="96">
        <f t="shared" ref="K24:K29" si="3">E24</f>
        <v>2.1338068181818186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4.2676136363636372</v>
      </c>
      <c r="F27" s="100"/>
      <c r="G27" s="98"/>
      <c r="H27" s="96">
        <f t="shared" si="2"/>
        <v>4.2676136363636372</v>
      </c>
      <c r="I27" s="108"/>
      <c r="K27" s="96">
        <f t="shared" si="3"/>
        <v>4.2676136363636372</v>
      </c>
    </row>
    <row r="28" spans="2:11" x14ac:dyDescent="0.25">
      <c r="B28" s="320" t="s">
        <v>148</v>
      </c>
      <c r="C28" s="320"/>
      <c r="D28" s="320"/>
      <c r="E28" s="95">
        <f>(Dados!E76/12)*Dados!E58</f>
        <v>10.007553977272728</v>
      </c>
      <c r="F28" s="100"/>
      <c r="G28" s="98"/>
      <c r="H28" s="96">
        <f t="shared" si="2"/>
        <v>10.007553977272728</v>
      </c>
      <c r="I28" s="108"/>
      <c r="K28" s="96">
        <f t="shared" si="3"/>
        <v>10.007553977272728</v>
      </c>
    </row>
    <row r="29" spans="2:11" x14ac:dyDescent="0.25">
      <c r="B29" s="320" t="s">
        <v>149</v>
      </c>
      <c r="C29" s="320"/>
      <c r="D29" s="320"/>
      <c r="E29" s="95">
        <f>(Dados!E82/12)*Dados!E58</f>
        <v>117.359375</v>
      </c>
      <c r="F29" s="100"/>
      <c r="G29" s="98"/>
      <c r="H29" s="96">
        <f t="shared" si="2"/>
        <v>117.359375</v>
      </c>
      <c r="I29" s="108"/>
      <c r="K29" s="96">
        <f t="shared" si="3"/>
        <v>117.359375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240.73364217761196</v>
      </c>
      <c r="F31" s="100"/>
      <c r="G31" s="98"/>
      <c r="H31" s="96">
        <f>((E18+E21)*Dados!E113)*Dados!E60</f>
        <v>240.73364217761196</v>
      </c>
      <c r="I31" s="108"/>
      <c r="K31" s="96">
        <f>((K18+K21)*Dados!E113)*Dados!E58</f>
        <v>118.72458916126565</v>
      </c>
    </row>
    <row r="32" spans="2:11" x14ac:dyDescent="0.25">
      <c r="B32" s="326" t="s">
        <v>92</v>
      </c>
      <c r="C32" s="326"/>
      <c r="D32" s="326"/>
      <c r="E32" s="94">
        <f>SUM(E24:E31)</f>
        <v>374.50199160943015</v>
      </c>
      <c r="F32" s="102"/>
      <c r="G32" s="98"/>
      <c r="H32" s="97">
        <f>SUM(H24:H31)</f>
        <v>374.50199160943015</v>
      </c>
      <c r="I32" s="106"/>
      <c r="K32" s="97">
        <f>SUM(K24:K31)</f>
        <v>252.49293859308386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1447.6078446612732</v>
      </c>
      <c r="F34" s="100"/>
      <c r="G34" s="98"/>
      <c r="H34" s="96">
        <f>E34</f>
        <v>1447.6078446612732</v>
      </c>
      <c r="I34" s="108"/>
      <c r="K34" s="96">
        <f>(K32+K21+K18)*Dados!E116</f>
        <v>1428.8689942028057</v>
      </c>
    </row>
    <row r="35" spans="2:13" x14ac:dyDescent="0.25">
      <c r="B35" s="321" t="s">
        <v>92</v>
      </c>
      <c r="C35" s="321"/>
      <c r="D35" s="321"/>
      <c r="E35" s="94">
        <f>SUM(E34)</f>
        <v>1447.6078446612732</v>
      </c>
      <c r="F35" s="102"/>
      <c r="G35" s="98"/>
      <c r="H35" s="97">
        <f>SUM(H34)</f>
        <v>1447.6078446612732</v>
      </c>
      <c r="I35" s="106"/>
      <c r="K35" s="97">
        <f>SUM(K34)</f>
        <v>1428.8689942028057</v>
      </c>
    </row>
    <row r="36" spans="2:13" x14ac:dyDescent="0.25">
      <c r="B36" s="326" t="s">
        <v>92</v>
      </c>
      <c r="C36" s="326"/>
      <c r="D36" s="326"/>
      <c r="E36" s="94">
        <f>E35+E32+E21+E18</f>
        <v>11098.32680906976</v>
      </c>
      <c r="F36" s="102"/>
      <c r="G36" s="98"/>
      <c r="H36" s="97">
        <f>H35+H32+H21+H18</f>
        <v>11098.32680906976</v>
      </c>
      <c r="I36" s="106"/>
      <c r="K36" s="97">
        <f>K35+K32+K21+K18</f>
        <v>10954.662288888177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12942.655170926833</v>
      </c>
      <c r="F38" s="100"/>
      <c r="G38" s="95"/>
      <c r="H38" s="95">
        <f>H36/((100-8.65)/100)</f>
        <v>12149.235696847029</v>
      </c>
      <c r="J38" s="17"/>
      <c r="K38" s="95">
        <f>K36/((100-7.99)/100)</f>
        <v>11905.947493629146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983.64179299043928</v>
      </c>
      <c r="F39" s="100"/>
      <c r="G39" s="109">
        <f>Dados!D120</f>
        <v>0.03</v>
      </c>
      <c r="H39" s="95">
        <f>H38*G39</f>
        <v>364.47707090541087</v>
      </c>
      <c r="J39" s="50">
        <f>Dados!E120</f>
        <v>2.4199999999999999E-2</v>
      </c>
      <c r="K39" s="95">
        <f>K38*J39</f>
        <v>288.12392934582533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213.55381032029277</v>
      </c>
      <c r="F40" s="100"/>
      <c r="G40" s="109">
        <f>Dados!D121</f>
        <v>6.4999999999999997E-3</v>
      </c>
      <c r="H40" s="95">
        <f>H38*G40</f>
        <v>78.970032029505688</v>
      </c>
      <c r="J40" s="50">
        <f>Dados!E121</f>
        <v>5.7000000000000002E-3</v>
      </c>
      <c r="K40" s="95">
        <f>K38*J40</f>
        <v>67.863900713686135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647.13275854634173</v>
      </c>
      <c r="F41" s="100"/>
      <c r="G41" s="109">
        <f>Dados!D122</f>
        <v>0.05</v>
      </c>
      <c r="H41" s="95">
        <f>H38*G41</f>
        <v>607.46178484235145</v>
      </c>
      <c r="J41" s="111">
        <f>Dados!E122</f>
        <v>0.05</v>
      </c>
      <c r="K41" s="95">
        <f>K38*J41</f>
        <v>595.29737468145731</v>
      </c>
    </row>
    <row r="42" spans="2:13" x14ac:dyDescent="0.25">
      <c r="B42" s="335" t="s">
        <v>155</v>
      </c>
      <c r="C42" s="335"/>
      <c r="D42" s="335"/>
      <c r="E42" s="94">
        <f>SUM(E39:E41)</f>
        <v>1844.328361857074</v>
      </c>
      <c r="F42" s="102"/>
      <c r="G42" s="110">
        <f>SUM(G39:G41)</f>
        <v>8.6499999999999994E-2</v>
      </c>
      <c r="H42" s="97">
        <f>SUM(H39:H41)</f>
        <v>1050.9088877772679</v>
      </c>
      <c r="I42" s="5"/>
      <c r="J42" s="112">
        <f>SUM(J39:J41)</f>
        <v>7.9899999999999999E-2</v>
      </c>
      <c r="K42" s="94">
        <f>SUM(K39:K41)</f>
        <v>951.28520474096877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12942.655170926835</v>
      </c>
      <c r="F44" s="106"/>
      <c r="H44" s="97">
        <f>H36+H42</f>
        <v>12149.235696847029</v>
      </c>
      <c r="I44" s="5"/>
      <c r="J44" s="5"/>
      <c r="K44" s="97">
        <f>K42+K36</f>
        <v>11905.947493629146</v>
      </c>
    </row>
    <row r="45" spans="2:13" x14ac:dyDescent="0.25">
      <c r="D45" s="5" t="s">
        <v>163</v>
      </c>
      <c r="E45" s="58">
        <f>E44/Dados!E24</f>
        <v>7.8712249412679167</v>
      </c>
      <c r="F45" s="106"/>
      <c r="H45" s="97">
        <f>H44/Dados!E24</f>
        <v>7.3886977418032167</v>
      </c>
      <c r="K45" s="97">
        <f>K44/Dados!E24</f>
        <v>7.2407392164624138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liDQh4QokZUOvrumhW9EaXaZatuGbzetAQ2dGXW/N6VMr8FqM7IaoXdVqI+Dk24zYdqRA6pEAYv51v9hKmzfIg==" saltValue="X6lVCjFt0ZzIe/QD6HTaC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2024-01-17T13:27:39Z</cp:lastPrinted>
  <dcterms:created xsi:type="dcterms:W3CDTF">2017-01-21T11:53:29Z</dcterms:created>
  <dcterms:modified xsi:type="dcterms:W3CDTF">2024-01-22T10:16:56Z</dcterms:modified>
</cp:coreProperties>
</file>