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CA29AA1C-4A56-480E-8EDA-F6CE7644400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1" i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9" authorId="0" shapeId="0" xr:uid="{81DF5795-3C93-4643-9267-6A192A48756D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Aula 2 (dois) dias na semana. Quartas e quintas feiras</t>
        </r>
      </text>
    </comment>
    <comment ref="D15" authorId="0" shapeId="0" xr:uid="{B119F3C7-6DA0-4248-9A5D-23B381B73BE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Van = 15 passageiros +motorista</t>
        </r>
      </text>
    </comment>
    <comment ref="E64" authorId="0" shapeId="0" xr:uid="{804DB4AF-DCFB-4CE1-A2EF-CBD8BA895EC1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Cotação veículo VAN com capacidade de 15 passageiros + motorista. Kombi veículo saiu de linha das montadoras o que não permite referência de preço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<sst xmlns="http://schemas.openxmlformats.org/spreadsheetml/2006/main" count="288" uniqueCount="191">
  <si>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</si>
  <si>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</si>
  <si>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</si>
  <si>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</si>
  <si>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</si>
  <si>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</si>
  <si>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</si>
  <si>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</si>
  <si>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</si>
  <si>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</si>
  <si>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</si>
  <si>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</si>
  <si>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</si>
  <si>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</si>
  <si>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</si>
  <si>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</si>
  <si>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</si>
  <si>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</si>
  <si>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</si>
  <si>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</si>
  <si>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</si>
  <si>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</si>
  <si>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</si>
  <si>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</si>
  <si>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</si>
  <si>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</si>
  <si>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</si>
  <si>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</si>
  <si>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</si>
  <si>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</si>
  <si>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</si>
  <si>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</si>
  <si>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</si>
  <si>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</si>
  <si>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</si>
  <si>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</si>
  <si>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</si>
  <si>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</si>
  <si>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</si>
  <si>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</si>
  <si>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</si>
  <si>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</si>
  <si>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</si>
  <si>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</si>
  <si>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</si>
  <si>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</si>
  <si>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</si>
  <si>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</si>
  <si>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</si>
  <si>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</si>
  <si>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</si>
  <si>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</si>
  <si>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</si>
  <si>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</si>
  <si>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</si>
  <si>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</si>
  <si>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</si>
  <si>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</si>
  <si>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</si>
  <si>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</si>
  <si>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</si>
  <si>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</si>
  <si>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</si>
  <si>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</si>
  <si>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</si>
  <si>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</si>
  <si>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</si>
  <si>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</si>
  <si>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</si>
  <si>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</si>
  <si>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</si>
  <si>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</si>
  <si>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</si>
  <si>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</si>
  <si>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</si>
  <si>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</si>
  <si>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</si>
  <si>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</si>
  <si>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</si>
  <si>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</si>
  <si>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</si>
  <si>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</si>
  <si>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</si>
  <si>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</si>
  <si>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</si>
  <si>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</si>
  <si>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</si>
  <si>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</si>
  <si>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</si>
  <si>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</si>
  <si>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</si>
  <si>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</si>
  <si>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</si>
  <si>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</si>
  <si>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</si>
  <si>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</si>
  <si>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</si>
  <si>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</si>
  <si>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</si>
  <si>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</si>
  <si>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</si>
  <si>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</si>
  <si>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</si>
  <si>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</si>
  <si>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</si>
  <si>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</si>
  <si>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</si>
  <si>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</si>
  <si>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</si>
  <si>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</si>
  <si>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</si>
  <si>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</si>
  <si>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</si>
  <si>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</si>
  <si>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</si>
  <si>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</si>
  <si>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</si>
  <si>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</si>
  <si>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</si>
  <si>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</si>
  <si>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</si>
  <si>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</si>
  <si>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</si>
  <si>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</si>
  <si>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</si>
  <si>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</si>
  <si>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</si>
  <si>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</si>
  <si>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</si>
  <si>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</si>
  <si>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</si>
  <si>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</si>
  <si>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</si>
  <si>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</si>
  <si>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</si>
  <si>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</si>
  <si>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</si>
  <si>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</si>
  <si>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</si>
  <si>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</si>
  <si>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</si>
  <si>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</si>
  <si>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</si>
  <si>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</si>
  <si>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</si>
  <si>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</si>
  <si>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</si>
  <si>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</si>
  <si>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</si>
  <si>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</si>
  <si>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</si>
  <si>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</si>
  <si>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</si>
  <si>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</si>
  <si>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</si>
  <si>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</si>
  <si>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</si>
  <si>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</si>
  <si>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</si>
  <si>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</si>
  <si>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</si>
  <si>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</si>
  <si>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</si>
  <si>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</si>
  <si>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</si>
  <si>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</si>
  <si>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</si>
  <si>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</si>
  <si>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</si>
  <si>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</si>
  <si>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</si>
  <si>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</si>
  <si>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</si>
  <si>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</si>
  <si>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</si>
  <si>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</si>
  <si>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</si>
  <si>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</si>
  <si>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</si>
  <si>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</si>
  <si>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Itinerário:</t>
  </si>
  <si>
    <t>DIESEL</t>
  </si>
  <si>
    <t>Rota 4</t>
  </si>
  <si>
    <t>RS004730/2023</t>
  </si>
  <si>
    <t>1º de agosto</t>
  </si>
  <si>
    <t>Rota 2 - turno da tarde</t>
  </si>
  <si>
    <t>VAN</t>
  </si>
  <si>
    <t>TARDE</t>
  </si>
  <si>
    <t>DADOS DA CONTRATAÇÃO: LINHA 20</t>
  </si>
  <si>
    <t>Rota 1 - turno da tarde</t>
  </si>
  <si>
    <t>ITEM 4 - LINHA 20 - INTEGRAL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</si>
</sst>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8" zoomScaleNormal="100" zoomScaleSheetLayoutView="100" workbookViewId="0">
      <selection activeCell="G24" sqref="G24"/>
    </sheetView>
  </sheetViews>
  <sheetFormatPr defaultRowHeight="15.75" x14ac:dyDescent="0.25"/>
  <cols>
    <col min="1" max="1" width="9.140625" style="4"/>
    <col min="2" max="2" width="12.140625" style="4" customWidth="1"/>
    <col min="3" max="3" width="27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34.4</v>
      </c>
    </row>
    <row r="10" spans="2:9" x14ac:dyDescent="0.25">
      <c r="B10" s="188" t="s">
        <v>2</v>
      </c>
      <c r="C10" s="188"/>
      <c r="D10" s="188"/>
      <c r="E10" s="7">
        <v>4.3</v>
      </c>
    </row>
    <row r="11" spans="2:9" x14ac:dyDescent="0.25">
      <c r="B11" s="188" t="s">
        <v>3</v>
      </c>
      <c r="C11" s="188"/>
      <c r="D11" s="188"/>
      <c r="E11" s="7">
        <f>E9/E10</f>
        <v>8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16</v>
      </c>
      <c r="E15" s="201"/>
    </row>
    <row r="17" spans="2:9" ht="15.75" customHeight="1" x14ac:dyDescent="0.25">
      <c r="B17" s="189" t="s">
        <v>180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189</v>
      </c>
      <c r="D22" s="113" t="s">
        <v>185</v>
      </c>
      <c r="E22" s="30" t="s">
        <v>9</v>
      </c>
    </row>
    <row r="23" spans="2:9" x14ac:dyDescent="0.25">
      <c r="B23" s="7" t="s">
        <v>54</v>
      </c>
      <c r="C23" s="93">
        <v>52</v>
      </c>
      <c r="D23" s="42">
        <v>52</v>
      </c>
      <c r="E23" s="42">
        <f>C23+D23</f>
        <v>104</v>
      </c>
    </row>
    <row r="24" spans="2:9" x14ac:dyDescent="0.25">
      <c r="B24" s="12" t="s">
        <v>24</v>
      </c>
      <c r="C24" s="93">
        <f>C23*E11</f>
        <v>416</v>
      </c>
      <c r="D24" s="42">
        <f>D23*E11</f>
        <v>416</v>
      </c>
      <c r="E24" s="42">
        <f>C24+D24</f>
        <v>832</v>
      </c>
    </row>
    <row r="25" spans="2:9" x14ac:dyDescent="0.25">
      <c r="B25" s="12" t="s">
        <v>55</v>
      </c>
      <c r="C25" s="93">
        <f>C23*E9</f>
        <v>1788.8</v>
      </c>
      <c r="D25" s="42">
        <f>D23*E9</f>
        <v>1788.8</v>
      </c>
      <c r="E25" s="42">
        <f>C25+D25</f>
        <v>3577.6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0.70833333333333337</v>
      </c>
      <c r="D29" s="13">
        <v>0.75</v>
      </c>
      <c r="E29" s="13">
        <f>D29-C29</f>
        <v>4.166666666666663E-2</v>
      </c>
    </row>
    <row r="30" spans="2:9" x14ac:dyDescent="0.25">
      <c r="B30" s="12" t="s">
        <v>15</v>
      </c>
      <c r="C30" s="13">
        <v>0</v>
      </c>
      <c r="D30" s="13">
        <v>0</v>
      </c>
      <c r="E30" s="13">
        <f>D30-C30</f>
        <v>0</v>
      </c>
    </row>
    <row r="31" spans="2:9" x14ac:dyDescent="0.25">
      <c r="B31" s="34" t="s">
        <v>176</v>
      </c>
      <c r="C31" s="176">
        <v>0</v>
      </c>
      <c r="D31" s="177">
        <v>0</v>
      </c>
      <c r="E31" s="13">
        <f>D31-C31</f>
        <v>0</v>
      </c>
    </row>
    <row r="32" spans="2:9" x14ac:dyDescent="0.25">
      <c r="B32" s="34" t="s">
        <v>182</v>
      </c>
      <c r="C32" s="176">
        <v>0</v>
      </c>
      <c r="D32" s="177">
        <v>0</v>
      </c>
      <c r="E32" s="13">
        <v>0</v>
      </c>
    </row>
    <row r="33" spans="2:9" x14ac:dyDescent="0.25">
      <c r="B33" s="191" t="s">
        <v>9</v>
      </c>
      <c r="C33" s="192"/>
      <c r="D33" s="193"/>
      <c r="E33" s="14">
        <f>E29+E30+E31+E32</f>
        <v>4.166666666666663E-2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0</v>
      </c>
      <c r="D38" s="18">
        <v>0</v>
      </c>
      <c r="E38" s="18">
        <f>C38+D38</f>
        <v>0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182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4.166666666666663E-2</v>
      </c>
      <c r="D41" s="179">
        <v>0</v>
      </c>
      <c r="E41" s="20">
        <v>0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</v>
      </c>
      <c r="D46" s="48">
        <f>D38*24</f>
        <v>0</v>
      </c>
      <c r="E46" s="48">
        <f>C46+D46</f>
        <v>0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182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0.99999999999999911</v>
      </c>
      <c r="D49" s="180">
        <f>SUM(D45:D48)</f>
        <v>0</v>
      </c>
      <c r="E49" s="180">
        <f>SUM(E45:E48)</f>
        <v>0.99999999999999911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7.9999999999999929</v>
      </c>
      <c r="D53" s="22">
        <f>(D45+D46+D47+D48)*E11</f>
        <v>0</v>
      </c>
      <c r="E53" s="23">
        <f>C53+D53</f>
        <v>7.9999999999999929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3.6363636363636334E-2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3.6363636363636334E-2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186</v>
      </c>
    </row>
    <row r="65" spans="2:9" x14ac:dyDescent="0.25">
      <c r="B65" s="185" t="s">
        <v>29</v>
      </c>
      <c r="C65" s="186"/>
      <c r="D65" s="187"/>
      <c r="E65" s="24">
        <v>16</v>
      </c>
    </row>
    <row r="66" spans="2:9" x14ac:dyDescent="0.25">
      <c r="B66" s="185" t="s">
        <v>30</v>
      </c>
      <c r="C66" s="186"/>
      <c r="D66" s="187"/>
      <c r="E66" s="24" t="s">
        <v>181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2.2999999999999998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309980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250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6.1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3099.7999999999997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2448.8420000000001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61996</v>
      </c>
    </row>
    <row r="82" spans="2:5" x14ac:dyDescent="0.25">
      <c r="B82" s="31" t="s">
        <v>68</v>
      </c>
      <c r="C82" s="32"/>
      <c r="D82" s="35" t="s">
        <v>55</v>
      </c>
      <c r="E82" s="37">
        <v>3000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183</v>
      </c>
      <c r="E99" s="236"/>
    </row>
    <row r="100" spans="2:5" x14ac:dyDescent="0.25">
      <c r="B100" s="62" t="s">
        <v>58</v>
      </c>
      <c r="C100" s="62"/>
      <c r="D100" s="237" t="s">
        <v>184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0.06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40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140.25048906906963</v>
      </c>
      <c r="H67"/>
      <c r="I67"/>
      <c r="J67" s="55">
        <f>J65*Dados!E58</f>
        <v>139.83628885331206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140.25048906906963</v>
      </c>
      <c r="H68"/>
      <c r="I68"/>
      <c r="J68" s="55">
        <f>J65*Dados!E60</f>
        <v>139.83628885331206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5" zoomScaleNormal="100" workbookViewId="0">
      <selection activeCell="H49" sqref="H49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4 - LINHA 20 - INTEGRAL JJ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112.7199999999999</v>
      </c>
      <c r="F12" s="100"/>
      <c r="G12" s="98"/>
      <c r="H12" s="95">
        <f t="shared" ref="H12:H17" si="0">E12</f>
        <v>112.7199999999999</v>
      </c>
      <c r="I12" s="100"/>
      <c r="K12" s="96">
        <f t="shared" ref="K12:K17" si="1">E12</f>
        <v>112.7199999999999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89.048799999999929</v>
      </c>
      <c r="F13" s="100"/>
      <c r="G13" s="98"/>
      <c r="H13" s="95">
        <f t="shared" si="0"/>
        <v>89.048799999999929</v>
      </c>
      <c r="I13" s="100"/>
      <c r="K13" s="96">
        <f t="shared" si="1"/>
        <v>89.048799999999929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2206.608695652174</v>
      </c>
      <c r="F14" s="100"/>
      <c r="G14" s="98"/>
      <c r="H14" s="95">
        <f t="shared" si="0"/>
        <v>2206.608695652174</v>
      </c>
      <c r="I14" s="100"/>
      <c r="K14" s="96">
        <f t="shared" si="1"/>
        <v>2206.608695652174</v>
      </c>
    </row>
    <row r="15" spans="2:13" x14ac:dyDescent="0.25">
      <c r="B15" s="320" t="s">
        <v>46</v>
      </c>
      <c r="C15" s="320"/>
      <c r="D15" s="320"/>
      <c r="E15" s="95">
        <f>E14*Dados!E86</f>
        <v>397.1895652173913</v>
      </c>
      <c r="F15" s="100"/>
      <c r="G15" s="98"/>
      <c r="H15" s="95">
        <f t="shared" si="0"/>
        <v>397.1895652173913</v>
      </c>
      <c r="I15" s="100"/>
      <c r="K15" s="96">
        <f t="shared" si="1"/>
        <v>397.1895652173913</v>
      </c>
    </row>
    <row r="16" spans="2:13" x14ac:dyDescent="0.25">
      <c r="B16" s="320" t="s">
        <v>144</v>
      </c>
      <c r="C16" s="320"/>
      <c r="D16" s="320"/>
      <c r="E16" s="95">
        <f>E14*Dados!E86</f>
        <v>397.1895652173913</v>
      </c>
      <c r="F16" s="100"/>
      <c r="G16" s="98"/>
      <c r="H16" s="95">
        <f t="shared" si="0"/>
        <v>397.1895652173913</v>
      </c>
      <c r="I16" s="100"/>
      <c r="K16" s="96">
        <f t="shared" si="1"/>
        <v>397.1895652173913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220.47167999999999</v>
      </c>
      <c r="F17" s="100"/>
      <c r="G17" s="98"/>
      <c r="H17" s="95">
        <f t="shared" si="0"/>
        <v>220.47167999999999</v>
      </c>
      <c r="I17" s="100"/>
      <c r="K17" s="96">
        <f t="shared" si="1"/>
        <v>220.47167999999999</v>
      </c>
    </row>
    <row r="18" spans="2:11" x14ac:dyDescent="0.25">
      <c r="B18" s="327" t="s">
        <v>92</v>
      </c>
      <c r="C18" s="327"/>
      <c r="D18" s="327"/>
      <c r="E18" s="94">
        <f>SUM(E12:E17)</f>
        <v>3423.2283060869563</v>
      </c>
      <c r="F18" s="102"/>
      <c r="G18" s="98"/>
      <c r="H18" s="94">
        <f>SUM(H12:H17)</f>
        <v>3423.2283060869563</v>
      </c>
      <c r="I18" s="102"/>
      <c r="K18" s="97">
        <f>SUM(K12:K17)</f>
        <v>3423.2283060869563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140.25048906906963</v>
      </c>
      <c r="F20" s="100"/>
      <c r="G20" s="98"/>
      <c r="H20" s="41">
        <f>E20</f>
        <v>140.25048906906963</v>
      </c>
      <c r="I20" s="108"/>
      <c r="K20" s="41">
        <f>Motorista!J67</f>
        <v>139.83628885331206</v>
      </c>
    </row>
    <row r="21" spans="2:11" x14ac:dyDescent="0.25">
      <c r="B21" s="326" t="s">
        <v>92</v>
      </c>
      <c r="C21" s="326"/>
      <c r="D21" s="326"/>
      <c r="E21" s="94">
        <f>SUM(E20:E20)</f>
        <v>140.25048906906963</v>
      </c>
      <c r="F21" s="102"/>
      <c r="G21" s="98"/>
      <c r="H21" s="58">
        <f>SUM(H20:H20)</f>
        <v>140.25048906906963</v>
      </c>
      <c r="I21" s="106"/>
      <c r="K21" s="58">
        <f>SUM(K20:K20)</f>
        <v>139.83628885331206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0.30303030303030282</v>
      </c>
      <c r="F24" s="100"/>
      <c r="G24" s="98"/>
      <c r="H24" s="96">
        <f t="shared" ref="H24:H29" si="2">E24</f>
        <v>0.30303030303030282</v>
      </c>
      <c r="I24" s="108"/>
      <c r="K24" s="96">
        <f t="shared" ref="K24:K29" si="3">E24</f>
        <v>0.30303030303030282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0.7575757575757569</v>
      </c>
      <c r="F27" s="100"/>
      <c r="G27" s="98"/>
      <c r="H27" s="96">
        <f t="shared" si="2"/>
        <v>0.7575757575757569</v>
      </c>
      <c r="I27" s="108"/>
      <c r="K27" s="96">
        <f t="shared" si="3"/>
        <v>0.7575757575757569</v>
      </c>
    </row>
    <row r="28" spans="2:11" x14ac:dyDescent="0.25">
      <c r="B28" s="320" t="s">
        <v>148</v>
      </c>
      <c r="C28" s="320"/>
      <c r="D28" s="320"/>
      <c r="E28" s="95">
        <f>(Dados!E76/12)*Dados!E58</f>
        <v>1.42121212121212</v>
      </c>
      <c r="F28" s="100"/>
      <c r="G28" s="98"/>
      <c r="H28" s="96">
        <f t="shared" si="2"/>
        <v>1.42121212121212</v>
      </c>
      <c r="I28" s="108"/>
      <c r="K28" s="96">
        <f t="shared" si="3"/>
        <v>1.42121212121212</v>
      </c>
    </row>
    <row r="29" spans="2:11" x14ac:dyDescent="0.25">
      <c r="B29" s="320" t="s">
        <v>149</v>
      </c>
      <c r="C29" s="320"/>
      <c r="D29" s="320"/>
      <c r="E29" s="95">
        <f>(Dados!E82/12)*Dados!E58</f>
        <v>9.0909090909090828</v>
      </c>
      <c r="F29" s="100"/>
      <c r="G29" s="98"/>
      <c r="H29" s="96">
        <f t="shared" si="2"/>
        <v>9.0909090909090828</v>
      </c>
      <c r="I29" s="108"/>
      <c r="K29" s="96">
        <f t="shared" si="3"/>
        <v>9.0909090909090828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7.7748628257949592</v>
      </c>
      <c r="F31" s="100"/>
      <c r="G31" s="98"/>
      <c r="H31" s="96">
        <f>((E18+E21)*Dados!E113)*Dados!E60</f>
        <v>7.7748628257949592</v>
      </c>
      <c r="I31" s="108"/>
      <c r="K31" s="96">
        <f>((K18+K21)*Dados!E113)*Dados!E58</f>
        <v>7.7739591162333062</v>
      </c>
    </row>
    <row r="32" spans="2:11" x14ac:dyDescent="0.25">
      <c r="B32" s="326" t="s">
        <v>92</v>
      </c>
      <c r="C32" s="326"/>
      <c r="D32" s="326"/>
      <c r="E32" s="94">
        <f>SUM(E24:E31)</f>
        <v>19.347590098522222</v>
      </c>
      <c r="F32" s="102"/>
      <c r="G32" s="98"/>
      <c r="H32" s="97">
        <f>SUM(H24:H31)</f>
        <v>19.347590098522222</v>
      </c>
      <c r="I32" s="106"/>
      <c r="K32" s="97">
        <f>SUM(K24:K31)</f>
        <v>19.34668638896057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537.42395778818218</v>
      </c>
      <c r="F34" s="100"/>
      <c r="G34" s="98"/>
      <c r="H34" s="96">
        <f>E34</f>
        <v>537.42395778818218</v>
      </c>
      <c r="I34" s="108"/>
      <c r="K34" s="96">
        <f>(K32+K21+K18)*Dados!E116</f>
        <v>537.36169219938438</v>
      </c>
    </row>
    <row r="35" spans="2:13" x14ac:dyDescent="0.25">
      <c r="B35" s="321" t="s">
        <v>92</v>
      </c>
      <c r="C35" s="321"/>
      <c r="D35" s="321"/>
      <c r="E35" s="94">
        <f>SUM(E34)</f>
        <v>537.42395778818218</v>
      </c>
      <c r="F35" s="102"/>
      <c r="G35" s="98"/>
      <c r="H35" s="97">
        <f>SUM(H34)</f>
        <v>537.42395778818218</v>
      </c>
      <c r="I35" s="106"/>
      <c r="K35" s="97">
        <f>SUM(K34)</f>
        <v>537.36169219938438</v>
      </c>
    </row>
    <row r="36" spans="2:13" x14ac:dyDescent="0.25">
      <c r="B36" s="326" t="s">
        <v>92</v>
      </c>
      <c r="C36" s="326"/>
      <c r="D36" s="326"/>
      <c r="E36" s="94">
        <f>E35+E32+E21+E18</f>
        <v>4120.2503430427305</v>
      </c>
      <c r="F36" s="102"/>
      <c r="G36" s="98"/>
      <c r="H36" s="97">
        <f>H35+H32+H21+H18</f>
        <v>4120.2503430427305</v>
      </c>
      <c r="I36" s="106"/>
      <c r="K36" s="97">
        <f>K35+K32+K21+K18</f>
        <v>4119.7729735286139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4804.9566682714058</v>
      </c>
      <c r="F38" s="100"/>
      <c r="G38" s="95"/>
      <c r="H38" s="95">
        <f>H36/((100-8.65)/100)</f>
        <v>4510.3999376494039</v>
      </c>
      <c r="J38" s="17"/>
      <c r="K38" s="95">
        <f>K36/((100-7.99)/100)</f>
        <v>4477.5274138991563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365.1767067886268</v>
      </c>
      <c r="F39" s="100"/>
      <c r="G39" s="109">
        <f>Dados!D120</f>
        <v>0.03</v>
      </c>
      <c r="H39" s="95">
        <f>H38*G39</f>
        <v>135.31199812948211</v>
      </c>
      <c r="J39" s="50">
        <f>Dados!E120</f>
        <v>2.4199999999999999E-2</v>
      </c>
      <c r="K39" s="95">
        <f>K38*J39</f>
        <v>108.35616341635958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79.281785026478204</v>
      </c>
      <c r="F40" s="100"/>
      <c r="G40" s="109">
        <f>Dados!D121</f>
        <v>6.4999999999999997E-3</v>
      </c>
      <c r="H40" s="95">
        <f>H38*G40</f>
        <v>29.317599594721123</v>
      </c>
      <c r="J40" s="50">
        <f>Dados!E121</f>
        <v>5.7000000000000002E-3</v>
      </c>
      <c r="K40" s="95">
        <f>K38*J40</f>
        <v>25.52190625922519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240.24783341357031</v>
      </c>
      <c r="F41" s="100"/>
      <c r="G41" s="109">
        <f>Dados!D122</f>
        <v>0.05</v>
      </c>
      <c r="H41" s="95">
        <f>H38*G41</f>
        <v>225.5199968824702</v>
      </c>
      <c r="J41" s="111">
        <f>Dados!E122</f>
        <v>0.05</v>
      </c>
      <c r="K41" s="95">
        <f>K38*J41</f>
        <v>223.87637069495781</v>
      </c>
    </row>
    <row r="42" spans="2:13" x14ac:dyDescent="0.25">
      <c r="B42" s="335" t="s">
        <v>155</v>
      </c>
      <c r="C42" s="335"/>
      <c r="D42" s="335"/>
      <c r="E42" s="94">
        <f>SUM(E39:E41)</f>
        <v>684.70632522867527</v>
      </c>
      <c r="F42" s="102"/>
      <c r="G42" s="110">
        <f>SUM(G39:G41)</f>
        <v>8.6499999999999994E-2</v>
      </c>
      <c r="H42" s="97">
        <f>SUM(H39:H41)</f>
        <v>390.14959460667342</v>
      </c>
      <c r="I42" s="5"/>
      <c r="J42" s="112">
        <f>SUM(J39:J41)</f>
        <v>7.9899999999999999E-2</v>
      </c>
      <c r="K42" s="94">
        <f>SUM(K39:K41)</f>
        <v>357.75444037054257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4804.9566682714058</v>
      </c>
      <c r="F44" s="106"/>
      <c r="H44" s="97">
        <f>H36+H42</f>
        <v>4510.3999376494039</v>
      </c>
      <c r="I44" s="5"/>
      <c r="J44" s="5"/>
      <c r="K44" s="97">
        <f>K42+K36</f>
        <v>4477.5274138991563</v>
      </c>
    </row>
    <row r="45" spans="2:13" x14ac:dyDescent="0.25">
      <c r="D45" s="5" t="s">
        <v>163</v>
      </c>
      <c r="E45" s="58">
        <f>E44/Dados!E24</f>
        <v>5.7751883032108244</v>
      </c>
      <c r="F45" s="106"/>
      <c r="H45" s="97">
        <f>H44/Dados!E24</f>
        <v>5.4211537712132261</v>
      </c>
      <c r="K45" s="97">
        <f>K44/Dados!E24</f>
        <v>5.3816435263211009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9H/7wj+uE/L85K9xB4aTUlxyOeTg701QK+qU6W4gVrHYmXtYxktE3ivxTaK26Ob7/FQ1eZss9yoQkVRihOf89g==" saltValue="hkftCyzw64cHpBe5agR4u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2024-01-17T13:23:56Z</cp:lastPrinted>
  <dcterms:created xsi:type="dcterms:W3CDTF">2017-01-21T11:53:29Z</dcterms:created>
  <dcterms:modified xsi:type="dcterms:W3CDTF">2024-08-15T13:07:57Z</dcterms:modified>
</cp:coreProperties>
</file>