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mbt\OneDrive\Área de Trabalho\Planilha TR\"/>
    </mc:Choice>
  </mc:AlternateContent>
  <xr:revisionPtr revIDLastSave="0" documentId="13_ncr:1_{3F759024-ABB7-432F-8B2F-383EE69DBBA4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Dados" sheetId="1" r:id="rId1"/>
    <sheet name="Motorista" sheetId="3" r:id="rId2"/>
    <sheet name="Custo total" sheetId="4" r:id="rId3"/>
  </sheets>
  <definedNames>
    <definedName name="_xlnm.Print_Area" localSheetId="0">Dados!$A$1:$H$121</definedName>
  </definedNames>
  <calcPr calcId="191029"/>
</workbook>
</file>

<file path=xl/calcChain.xml><?xml version="1.0" encoding="utf-8"?>
<calcChain xmlns="http://schemas.openxmlformats.org/spreadsheetml/2006/main">
  <c r="E32" i="1" l="1"/>
  <c r="D38" i="1"/>
  <c r="D45" i="1" s="1"/>
  <c r="C39" i="1"/>
  <c r="E31" i="1" l="1"/>
  <c r="C46" i="1" s="1"/>
  <c r="E14" i="4" l="1"/>
  <c r="E16" i="4" s="1"/>
  <c r="G11" i="3"/>
  <c r="E52" i="1"/>
  <c r="D46" i="1"/>
  <c r="E46" i="1" s="1"/>
  <c r="D37" i="1"/>
  <c r="D40" i="1" s="1"/>
  <c r="E15" i="4" l="1"/>
  <c r="D44" i="1"/>
  <c r="D47" i="1" s="1"/>
  <c r="E39" i="1"/>
  <c r="O44" i="3"/>
  <c r="D51" i="1" l="1"/>
  <c r="O57" i="3" l="1"/>
  <c r="Q57" i="3"/>
  <c r="J41" i="4" l="1"/>
  <c r="J40" i="4"/>
  <c r="J39" i="4"/>
  <c r="G41" i="4"/>
  <c r="G40" i="4"/>
  <c r="G39" i="4"/>
  <c r="K26" i="4"/>
  <c r="H26" i="4"/>
  <c r="I34" i="3"/>
  <c r="I31" i="3"/>
  <c r="I30" i="3"/>
  <c r="J12" i="3"/>
  <c r="D41" i="4"/>
  <c r="D40" i="4"/>
  <c r="D39" i="4"/>
  <c r="H29" i="4"/>
  <c r="E121" i="1"/>
  <c r="D121" i="1"/>
  <c r="C121" i="1"/>
  <c r="B7" i="4"/>
  <c r="B6" i="4"/>
  <c r="B4" i="4"/>
  <c r="B2" i="4"/>
  <c r="I35" i="3" l="1"/>
  <c r="G42" i="4"/>
  <c r="J42" i="4"/>
  <c r="K29" i="4"/>
  <c r="F41" i="3" l="1"/>
  <c r="E35" i="3"/>
  <c r="G13" i="3"/>
  <c r="J13" i="3" s="1"/>
  <c r="E53" i="1"/>
  <c r="D25" i="1"/>
  <c r="C25" i="1"/>
  <c r="E79" i="1"/>
  <c r="E63" i="1"/>
  <c r="J11" i="3" l="1"/>
  <c r="E76" i="1"/>
  <c r="G6" i="3"/>
  <c r="J4" i="3"/>
  <c r="J6" i="3" s="1"/>
  <c r="E55" i="1"/>
  <c r="E25" i="1"/>
  <c r="E77" i="1" l="1"/>
  <c r="J31" i="3"/>
  <c r="G30" i="3"/>
  <c r="J30" i="3" s="1"/>
  <c r="J22" i="3"/>
  <c r="J23" i="3" s="1"/>
  <c r="J57" i="3"/>
  <c r="G34" i="3"/>
  <c r="J34" i="3" s="1"/>
  <c r="G22" i="3"/>
  <c r="G23" i="3" s="1"/>
  <c r="G60" i="3" s="1"/>
  <c r="G57" i="3"/>
  <c r="Q39" i="3" l="1"/>
  <c r="P44" i="3" s="1"/>
  <c r="M49" i="3" s="1"/>
  <c r="P49" i="3" s="1"/>
  <c r="R49" i="3" s="1"/>
  <c r="G42" i="3" s="1"/>
  <c r="J42" i="3" s="1"/>
  <c r="J18" i="3"/>
  <c r="J19" i="3" s="1"/>
  <c r="G35" i="3"/>
  <c r="G36" i="3"/>
  <c r="G27" i="3" s="1"/>
  <c r="H33" i="3"/>
  <c r="J35" i="3"/>
  <c r="J36" i="3"/>
  <c r="J60" i="3"/>
  <c r="C38" i="1"/>
  <c r="E38" i="1" s="1"/>
  <c r="C37" i="1"/>
  <c r="B38" i="1"/>
  <c r="B45" i="1" s="1"/>
  <c r="B37" i="1"/>
  <c r="B44" i="1" s="1"/>
  <c r="C40" i="1" l="1"/>
  <c r="E37" i="1"/>
  <c r="E40" i="1" s="1"/>
  <c r="R44" i="3"/>
  <c r="G37" i="3"/>
  <c r="G62" i="3" s="1"/>
  <c r="J37" i="3"/>
  <c r="J62" i="3" s="1"/>
  <c r="J27" i="3"/>
  <c r="J61" i="3" s="1"/>
  <c r="G61" i="3"/>
  <c r="E30" i="1"/>
  <c r="C45" i="1" s="1"/>
  <c r="E45" i="1" s="1"/>
  <c r="E29" i="1"/>
  <c r="C44" i="1" l="1"/>
  <c r="E33" i="1"/>
  <c r="T44" i="3"/>
  <c r="G40" i="3" s="1"/>
  <c r="E57" i="1"/>
  <c r="D24" i="1"/>
  <c r="C24" i="1"/>
  <c r="C47" i="1" l="1"/>
  <c r="C51" i="1"/>
  <c r="E56" i="1" s="1"/>
  <c r="E44" i="1"/>
  <c r="E47" i="1" s="1"/>
  <c r="J40" i="3"/>
  <c r="G41" i="3"/>
  <c r="J41" i="3" s="1"/>
  <c r="J10" i="3"/>
  <c r="J50" i="3" s="1"/>
  <c r="G50" i="3"/>
  <c r="H14" i="4"/>
  <c r="K14" i="4"/>
  <c r="J9" i="3"/>
  <c r="G15" i="3"/>
  <c r="E24" i="1"/>
  <c r="E17" i="4" s="1"/>
  <c r="E12" i="4" l="1"/>
  <c r="E13" i="4"/>
  <c r="E25" i="4"/>
  <c r="E24" i="4"/>
  <c r="E28" i="4"/>
  <c r="E27" i="4"/>
  <c r="E51" i="1"/>
  <c r="J15" i="3"/>
  <c r="J58" i="3" s="1"/>
  <c r="K17" i="4"/>
  <c r="H17" i="4"/>
  <c r="E58" i="1"/>
  <c r="G58" i="3"/>
  <c r="R54" i="3"/>
  <c r="J52" i="3"/>
  <c r="J53" i="3" s="1"/>
  <c r="G52" i="3"/>
  <c r="G53" i="3" s="1"/>
  <c r="H16" i="4"/>
  <c r="K16" i="4"/>
  <c r="H15" i="4"/>
  <c r="K15" i="4"/>
  <c r="P58" i="3" l="1"/>
  <c r="R58" i="3" s="1"/>
  <c r="T58" i="3" s="1"/>
  <c r="J43" i="3" s="1"/>
  <c r="P57" i="3"/>
  <c r="M61" i="3" s="1"/>
  <c r="P61" i="3" s="1"/>
  <c r="G54" i="3"/>
  <c r="G64" i="3" s="1"/>
  <c r="J54" i="3"/>
  <c r="J64" i="3" s="1"/>
  <c r="K27" i="4" l="1"/>
  <c r="H27" i="4"/>
  <c r="K24" i="4"/>
  <c r="H24" i="4"/>
  <c r="K13" i="4"/>
  <c r="H13" i="4"/>
  <c r="H25" i="4"/>
  <c r="K25" i="4"/>
  <c r="K28" i="4"/>
  <c r="H28" i="4"/>
  <c r="R57" i="3"/>
  <c r="T57" i="3" s="1"/>
  <c r="G43" i="3" s="1"/>
  <c r="R61" i="3"/>
  <c r="G45" i="3" s="1"/>
  <c r="J45" i="3" s="1"/>
  <c r="G44" i="3" l="1"/>
  <c r="J44" i="3" s="1"/>
  <c r="J46" i="3" s="1"/>
  <c r="J63" i="3" s="1"/>
  <c r="J65" i="3" s="1"/>
  <c r="G46" i="3" l="1"/>
  <c r="G63" i="3" s="1"/>
  <c r="G65" i="3" s="1"/>
  <c r="G67" i="3" s="1"/>
  <c r="E20" i="4" s="1"/>
  <c r="E21" i="4" s="1"/>
  <c r="J68" i="3"/>
  <c r="J67" i="3"/>
  <c r="K20" i="4" s="1"/>
  <c r="G68" i="3" l="1"/>
  <c r="H20" i="4" s="1"/>
  <c r="K21" i="4"/>
  <c r="H21" i="4" l="1"/>
  <c r="H12" i="4" l="1"/>
  <c r="H18" i="4" s="1"/>
  <c r="K12" i="4"/>
  <c r="K18" i="4" s="1"/>
  <c r="E18" i="4"/>
  <c r="H31" i="4" s="1"/>
  <c r="H32" i="4" s="1"/>
  <c r="E31" i="4" l="1"/>
  <c r="E32" i="4" s="1"/>
  <c r="E34" i="4" s="1"/>
  <c r="E35" i="4" s="1"/>
  <c r="E36" i="4" s="1"/>
  <c r="E38" i="4" s="1"/>
  <c r="E41" i="4" s="1"/>
  <c r="K31" i="4"/>
  <c r="K32" i="4" s="1"/>
  <c r="K34" i="4" s="1"/>
  <c r="K35" i="4" s="1"/>
  <c r="K36" i="4" s="1"/>
  <c r="K38" i="4" s="1"/>
  <c r="E39" i="4" l="1"/>
  <c r="E40" i="4"/>
  <c r="H34" i="4"/>
  <c r="H35" i="4" s="1"/>
  <c r="H36" i="4" s="1"/>
  <c r="H38" i="4" s="1"/>
  <c r="K41" i="4"/>
  <c r="K40" i="4"/>
  <c r="K39" i="4"/>
  <c r="E42" i="4" l="1"/>
  <c r="E44" i="4" s="1"/>
  <c r="E45" i="4" s="1"/>
  <c r="K42" i="4"/>
  <c r="K44" i="4" s="1"/>
  <c r="K45" i="4" s="1"/>
  <c r="H41" i="4"/>
  <c r="H39" i="4"/>
  <c r="H40" i="4"/>
  <c r="H42" i="4" l="1"/>
  <c r="H44" i="4" s="1"/>
  <c r="H45" i="4" s="1"/>
</calcChain>
</file>

<file path=xl/sharedStrings.xml><?xml version="1.0" encoding="utf-8"?>
<sst xmlns="http://schemas.openxmlformats.org/spreadsheetml/2006/main" count="287" uniqueCount="193">
  <si>
    <t>Transporte escolar</t>
  </si>
  <si>
    <t>N° de dias letivo ano</t>
  </si>
  <si>
    <t>N° de meses com transporte</t>
  </si>
  <si>
    <t>Méia dias letivo/mês</t>
  </si>
  <si>
    <t>Dias Letivos:</t>
  </si>
  <si>
    <t>Turno</t>
  </si>
  <si>
    <t>Usuários:</t>
  </si>
  <si>
    <t>Início</t>
  </si>
  <si>
    <t>Término</t>
  </si>
  <si>
    <t>Total</t>
  </si>
  <si>
    <t>Quilometragem:</t>
  </si>
  <si>
    <t>Horário de execução do serviço:</t>
  </si>
  <si>
    <t>OBJETO:</t>
  </si>
  <si>
    <t>Efetivo</t>
  </si>
  <si>
    <t>Morto</t>
  </si>
  <si>
    <t>Rota 2</t>
  </si>
  <si>
    <t>Rota 1</t>
  </si>
  <si>
    <t>Tempo de utilização diária - recursos humanos e veículos - em horas:</t>
  </si>
  <si>
    <t>Tempo de utilização diária - recursos humanos e veículos - em número:</t>
  </si>
  <si>
    <t xml:space="preserve">Mensal </t>
  </si>
  <si>
    <t>Taxa de uso efetivo</t>
  </si>
  <si>
    <t>Taxa de uso total</t>
  </si>
  <si>
    <t>Taxa de uso morto</t>
  </si>
  <si>
    <t>Total (uso efetivo + morto)</t>
  </si>
  <si>
    <t>Mensal</t>
  </si>
  <si>
    <t>Taxa de uso mínimo</t>
  </si>
  <si>
    <t>Tempo de utilização mensal - recursos humanos e veículos</t>
  </si>
  <si>
    <t>Características dos veículos</t>
  </si>
  <si>
    <t>Tipo</t>
  </si>
  <si>
    <t>ÔNIBUS</t>
  </si>
  <si>
    <t>Capacidade mínima</t>
  </si>
  <si>
    <t>Combustível</t>
  </si>
  <si>
    <t>Diesel</t>
  </si>
  <si>
    <t>Ano</t>
  </si>
  <si>
    <t>KM/l</t>
  </si>
  <si>
    <t>Peças e manutenção</t>
  </si>
  <si>
    <t>Base de cálculo</t>
  </si>
  <si>
    <t>Investimento sem rodagem</t>
  </si>
  <si>
    <t>Licenciamento</t>
  </si>
  <si>
    <t>IPVA</t>
  </si>
  <si>
    <t>DPVAT</t>
  </si>
  <si>
    <t>Vistoria</t>
  </si>
  <si>
    <t>Aferição do Tacógrafo</t>
  </si>
  <si>
    <t>Valor residual do veículo</t>
  </si>
  <si>
    <t>Valores:</t>
  </si>
  <si>
    <t>Dado do veículo:</t>
  </si>
  <si>
    <t>Isento</t>
  </si>
  <si>
    <t>Tempo de vida útil</t>
  </si>
  <si>
    <t>anos</t>
  </si>
  <si>
    <t>Óleos/lubrificantes</t>
  </si>
  <si>
    <t>Coeficiente</t>
  </si>
  <si>
    <t>KM</t>
  </si>
  <si>
    <t>Valor</t>
  </si>
  <si>
    <t>Rodagem</t>
  </si>
  <si>
    <t>Quantidade</t>
  </si>
  <si>
    <t>Pneu</t>
  </si>
  <si>
    <t>Recapagem</t>
  </si>
  <si>
    <t>Diária</t>
  </si>
  <si>
    <t>Anual</t>
  </si>
  <si>
    <t>Recursos humanos</t>
  </si>
  <si>
    <t>CCT</t>
  </si>
  <si>
    <t>Data base da categoria</t>
  </si>
  <si>
    <t>1º de junho</t>
  </si>
  <si>
    <t>Motorista</t>
  </si>
  <si>
    <t>Salário Normativo</t>
  </si>
  <si>
    <t>Vale Transporte</t>
  </si>
  <si>
    <t>Vale Alimentação</t>
  </si>
  <si>
    <t>Desconto</t>
  </si>
  <si>
    <t>Plano de saúde</t>
  </si>
  <si>
    <t>Seguro de Vida</t>
  </si>
  <si>
    <t>Uniforme</t>
  </si>
  <si>
    <t>Mês</t>
  </si>
  <si>
    <t>Despesas administrativas</t>
  </si>
  <si>
    <t>Seguro de responsabilidade civil</t>
  </si>
  <si>
    <t>Lucro</t>
  </si>
  <si>
    <t>Valor mensal</t>
  </si>
  <si>
    <t>Estimativa</t>
  </si>
  <si>
    <t>Módulo 1 - Composição da Remuneração</t>
  </si>
  <si>
    <t>R$</t>
  </si>
  <si>
    <t>Total da remuneração</t>
  </si>
  <si>
    <t>Módulo 2 - Benefícios mensais e diários</t>
  </si>
  <si>
    <t>Transporte</t>
  </si>
  <si>
    <t>Assistência médica e familiar</t>
  </si>
  <si>
    <t>Auxílio creche</t>
  </si>
  <si>
    <t>Seguro de Vida, Invalidez e Funeral</t>
  </si>
  <si>
    <t xml:space="preserve">Outros </t>
  </si>
  <si>
    <t>Total dos Benefícios mensais e diários</t>
  </si>
  <si>
    <t>Módulo 3 - Insumos diversos</t>
  </si>
  <si>
    <t>Uniformes</t>
  </si>
  <si>
    <t>Total do Módulo 3 - Insumos Diversos</t>
  </si>
  <si>
    <t>Módulo 4 - Encargos Trabalhistas</t>
  </si>
  <si>
    <t>Décimo terceiro</t>
  </si>
  <si>
    <t>Total do Módulo 4 - Encargos Trabalhistas</t>
  </si>
  <si>
    <t>INSS</t>
  </si>
  <si>
    <t xml:space="preserve">SAT/RAT </t>
  </si>
  <si>
    <t>Salário Educação</t>
  </si>
  <si>
    <t>FGTS</t>
  </si>
  <si>
    <t>Subtotal</t>
  </si>
  <si>
    <t>Módulo 5 - Afastamento maternidade</t>
  </si>
  <si>
    <t>Módulo 6 - Encargos Previdenciários</t>
  </si>
  <si>
    <t>Incidência Módulo 6 s/Módulo 4</t>
  </si>
  <si>
    <t>Total do Módulo 6 - Encargos Previdenciários</t>
  </si>
  <si>
    <t>Total do Módulo 5 - Afastamento maternidade</t>
  </si>
  <si>
    <t>Aviso prévio indenizado</t>
  </si>
  <si>
    <t>Incidência do FGTS</t>
  </si>
  <si>
    <t>Multa do FGTS s/AP  indenizado</t>
  </si>
  <si>
    <t>Aviso prévio  trabalhado</t>
  </si>
  <si>
    <t>Multa do FGTS s/AP  trabalhado</t>
  </si>
  <si>
    <t>Módulo 7 - Provisão para rescisão</t>
  </si>
  <si>
    <t>Total do Módulo 7 - Provisão para rescisão</t>
  </si>
  <si>
    <t>Ausências Legais (inclui ausência por doença, paternidade e outras) Conforme NT 1/2013 do STF esta rubrica corresponde a 2,53% da Remuneração</t>
  </si>
  <si>
    <t>Módulo 8 - Reposição do profissional ausente</t>
  </si>
  <si>
    <t>Total do módulo 8 - Reposição do profissional ausente</t>
  </si>
  <si>
    <t>Incidência do Módulo 6 s/ Aviso prévio trabalhado</t>
  </si>
  <si>
    <t>Incidência do Módulo 6 s/Módulo 8</t>
  </si>
  <si>
    <t>TOTAL DOS ENCARGOS COM MOTORISTA</t>
  </si>
  <si>
    <t>TOTAL</t>
  </si>
  <si>
    <t>Módulo 8 - Rep. do profissional ausente</t>
  </si>
  <si>
    <t>Afastamento maternidade</t>
  </si>
  <si>
    <t>Dados estimados exemplificativamente</t>
  </si>
  <si>
    <t>Dias - mínimo</t>
  </si>
  <si>
    <t>Dias - proporção</t>
  </si>
  <si>
    <t>Total - Dias</t>
  </si>
  <si>
    <t>Custo referência c/ a proporção</t>
  </si>
  <si>
    <t xml:space="preserve"> nº meses - emprego</t>
  </si>
  <si>
    <t>Subtotal Valor AP</t>
  </si>
  <si>
    <t>% trab. (ponderação)</t>
  </si>
  <si>
    <t>Valor AP Indenizado</t>
  </si>
  <si>
    <t>Custo referência c/proporção</t>
  </si>
  <si>
    <t>=Remuneração+13º+Adicional férias</t>
  </si>
  <si>
    <t>Valor (R$)</t>
  </si>
  <si>
    <t>Multa rescisória (%)</t>
  </si>
  <si>
    <t xml:space="preserve">Subtotal </t>
  </si>
  <si>
    <t>Valor Multa</t>
  </si>
  <si>
    <t>Multa rescisória = 50% (40% + 10%) 40% multa do FGTS  e 10% corresponde a contribuição social sobre rescisão sem justa causa</t>
  </si>
  <si>
    <t>Custo de Referência do Aviso Prévio  trabalhado</t>
  </si>
  <si>
    <t>LC123</t>
  </si>
  <si>
    <t>=Remuneração+Benefícios mensais e diários+13º+Adicional férias+GPS+FGTS</t>
  </si>
  <si>
    <t>AP Trab.</t>
  </si>
  <si>
    <t>Aviso prévio trabalhado</t>
  </si>
  <si>
    <t>FGTS (8%)</t>
  </si>
  <si>
    <t>Ausência por férias (sugere-se não incluir e que sejam gozadas no recesso escolar) Considerado 8,33% da remuneração cfe. NT 1/2013 do STF</t>
  </si>
  <si>
    <t>=G11*8,33%</t>
  </si>
  <si>
    <t>Custo proporcional do motorista</t>
  </si>
  <si>
    <t>Efetivo +</t>
  </si>
  <si>
    <t>Despesa com veículo</t>
  </si>
  <si>
    <t>Depreciação</t>
  </si>
  <si>
    <t>Remuneração de capital</t>
  </si>
  <si>
    <t>Combustíveis</t>
  </si>
  <si>
    <t>Manutenção</t>
  </si>
  <si>
    <t>Recursos Humanos</t>
  </si>
  <si>
    <t>Despesa com motorista</t>
  </si>
  <si>
    <t>Vistorias</t>
  </si>
  <si>
    <t>Aferição do tacógrafo</t>
  </si>
  <si>
    <t>Seguro responsabilidade civil</t>
  </si>
  <si>
    <t>Despesas não-operacionais</t>
  </si>
  <si>
    <t>Base de cálaculo</t>
  </si>
  <si>
    <t>Cofins</t>
  </si>
  <si>
    <t>PIS</t>
  </si>
  <si>
    <t>ISS</t>
  </si>
  <si>
    <t>Sub-total</t>
  </si>
  <si>
    <t>Tributos - Lucro real</t>
  </si>
  <si>
    <t>L. Real</t>
  </si>
  <si>
    <t>L.Pres.</t>
  </si>
  <si>
    <t>Tributos - alíquotas</t>
  </si>
  <si>
    <t>Depreciação mensal - Método Linear</t>
  </si>
  <si>
    <t>Remuneração de capital mensal</t>
  </si>
  <si>
    <t>CUSTO MENSAL - LUCRO REAL</t>
  </si>
  <si>
    <t>Custo/km</t>
  </si>
  <si>
    <t>Lucro real/presumido</t>
  </si>
  <si>
    <t>LC 123</t>
  </si>
  <si>
    <t>L. PRESUMIDO</t>
  </si>
  <si>
    <t>IMPORTANTE: PLANILHA MERAMENTE EXEMPLIFICATIVA</t>
  </si>
  <si>
    <t>Uso mínimo</t>
  </si>
  <si>
    <t>Uso máximo</t>
  </si>
  <si>
    <t>=(((Custo de referência*multa de 50%) FGTS de 8%)*%´ponderação)</t>
  </si>
  <si>
    <t>Despesas c/veículo/seguro</t>
  </si>
  <si>
    <t>MUNICÍPIO DE BARÃO DO TRIUNFO</t>
  </si>
  <si>
    <t xml:space="preserve">PLANILHA DE CÁLCULO </t>
  </si>
  <si>
    <r>
      <t>INCRA</t>
    </r>
    <r>
      <rPr>
        <sz val="11"/>
        <rFont val="Calibri"/>
        <family val="2"/>
        <scheme val="minor"/>
      </rPr>
      <t>/SESC/SE</t>
    </r>
    <r>
      <rPr>
        <sz val="11"/>
        <color theme="1"/>
        <rFont val="Calibri"/>
        <family val="2"/>
        <scheme val="minor"/>
      </rPr>
      <t>BRAE/SENAT[...]</t>
    </r>
  </si>
  <si>
    <t>Nº de lugares</t>
  </si>
  <si>
    <t>Rota 2 - turno da tarde</t>
  </si>
  <si>
    <t>Rota 3</t>
  </si>
  <si>
    <t>Intervalo intrajornada</t>
  </si>
  <si>
    <t>Auxílio alimentação (Vales refeição, Cesta Básica etc.)</t>
  </si>
  <si>
    <t>Despesas não operacionais - estimativa</t>
  </si>
  <si>
    <t>Rota 1 - turno da manha</t>
  </si>
  <si>
    <t>Itinerário:</t>
  </si>
  <si>
    <t>DADOS DA CONTRATAÇÃO: LINHA 13</t>
  </si>
  <si>
    <t>ITEM 8- LINHA 8- ÁGUA FRIA/ADÃO VALTER</t>
  </si>
  <si>
    <t>Manhã/Tarde/NOITE</t>
  </si>
  <si>
    <t>RS001530/2022</t>
  </si>
  <si>
    <t>Rota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</si>
</sst>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h:mm;@"/>
    <numFmt numFmtId="165" formatCode="[$-F400]h:mm:ss\ AM/PM"/>
    <numFmt numFmtId="166" formatCode="0.000"/>
    <numFmt numFmtId="167" formatCode="0.0"/>
    <numFmt numFmtId="168" formatCode="#,##0.00_ ;\-#,##0.00\ "/>
    <numFmt numFmtId="169" formatCode="#,##0.00\ ;&quot; (&quot;#,##0.00\);&quot; -&quot;#\ ;@\ "/>
    <numFmt numFmtId="170" formatCode="0.0%"/>
  </numFmts>
  <fonts count="15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9" fontId="7" fillId="0" borderId="0" applyFont="0" applyFill="0" applyBorder="0" applyAlignment="0" applyProtection="0"/>
    <xf numFmtId="0" fontId="8" fillId="0" borderId="8" applyNumberFormat="0" applyFill="0" applyAlignment="0" applyProtection="0"/>
    <xf numFmtId="43" fontId="7" fillId="0" borderId="0" applyFont="0" applyFill="0" applyBorder="0" applyAlignment="0" applyProtection="0"/>
    <xf numFmtId="0" fontId="7" fillId="2" borderId="0" applyNumberFormat="0" applyBorder="0" applyAlignment="0" applyProtection="0"/>
  </cellStyleXfs>
  <cellXfs count="344">
    <xf numFmtId="0" fontId="0" fillId="0" borderId="0" xfId="0"/>
    <xf numFmtId="0" fontId="5" fillId="0" borderId="5" xfId="1" applyFont="1" applyBorder="1" applyAlignment="1">
      <alignment wrapText="1"/>
    </xf>
    <xf numFmtId="0" fontId="5" fillId="0" borderId="6" xfId="1" applyFont="1" applyBorder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/>
    <xf numFmtId="0" fontId="9" fillId="0" borderId="0" xfId="0" applyFont="1"/>
    <xf numFmtId="0" fontId="11" fillId="0" borderId="3" xfId="0" applyFont="1" applyBorder="1" applyProtection="1">
      <protection locked="0"/>
    </xf>
    <xf numFmtId="0" fontId="11" fillId="0" borderId="3" xfId="0" applyFont="1" applyBorder="1"/>
    <xf numFmtId="0" fontId="11" fillId="0" borderId="0" xfId="0" applyFont="1"/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5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0" fontId="5" fillId="0" borderId="3" xfId="0" applyFont="1" applyBorder="1"/>
    <xf numFmtId="165" fontId="5" fillId="0" borderId="3" xfId="0" applyNumberFormat="1" applyFont="1" applyBorder="1" applyAlignment="1">
      <alignment horizontal="center"/>
    </xf>
    <xf numFmtId="0" fontId="10" fillId="0" borderId="3" xfId="0" applyFont="1" applyBorder="1"/>
    <xf numFmtId="20" fontId="10" fillId="0" borderId="3" xfId="0" applyNumberFormat="1" applyFont="1" applyBorder="1"/>
    <xf numFmtId="164" fontId="10" fillId="0" borderId="3" xfId="0" applyNumberFormat="1" applyFont="1" applyBorder="1"/>
    <xf numFmtId="20" fontId="9" fillId="0" borderId="3" xfId="0" applyNumberFormat="1" applyFont="1" applyBorder="1"/>
    <xf numFmtId="20" fontId="9" fillId="0" borderId="0" xfId="0" applyNumberFormat="1" applyFont="1"/>
    <xf numFmtId="2" fontId="11" fillId="0" borderId="3" xfId="0" applyNumberFormat="1" applyFont="1" applyBorder="1" applyAlignment="1">
      <alignment horizontal="center"/>
    </xf>
    <xf numFmtId="2" fontId="11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horizontal="right"/>
    </xf>
    <xf numFmtId="0" fontId="10" fillId="0" borderId="0" xfId="0" applyFont="1" applyAlignment="1">
      <alignment horizontal="left" wrapText="1"/>
    </xf>
    <xf numFmtId="0" fontId="11" fillId="0" borderId="0" xfId="0" applyFont="1" applyAlignment="1">
      <alignment horizontal="right"/>
    </xf>
    <xf numFmtId="2" fontId="5" fillId="0" borderId="3" xfId="0" applyNumberFormat="1" applyFont="1" applyBorder="1" applyAlignment="1">
      <alignment horizontal="right"/>
    </xf>
    <xf numFmtId="167" fontId="10" fillId="0" borderId="0" xfId="0" applyNumberFormat="1" applyFont="1"/>
    <xf numFmtId="166" fontId="11" fillId="0" borderId="3" xfId="0" applyNumberFormat="1" applyFont="1" applyBorder="1" applyAlignment="1">
      <alignment horizontal="right"/>
    </xf>
    <xf numFmtId="0" fontId="9" fillId="0" borderId="3" xfId="0" applyFont="1" applyBorder="1" applyAlignment="1">
      <alignment horizontal="center"/>
    </xf>
    <xf numFmtId="0" fontId="11" fillId="0" borderId="4" xfId="0" applyFont="1" applyBorder="1"/>
    <xf numFmtId="0" fontId="11" fillId="0" borderId="5" xfId="0" applyFont="1" applyBorder="1"/>
    <xf numFmtId="0" fontId="11" fillId="0" borderId="6" xfId="0" applyFont="1" applyBorder="1"/>
    <xf numFmtId="0" fontId="11" fillId="0" borderId="4" xfId="0" applyFont="1" applyBorder="1" applyAlignment="1">
      <alignment horizontal="left"/>
    </xf>
    <xf numFmtId="0" fontId="11" fillId="0" borderId="3" xfId="0" applyFont="1" applyBorder="1" applyAlignment="1">
      <alignment horizontal="center"/>
    </xf>
    <xf numFmtId="4" fontId="11" fillId="0" borderId="3" xfId="0" applyNumberFormat="1" applyFont="1" applyBorder="1" applyAlignment="1">
      <alignment horizontal="right"/>
    </xf>
    <xf numFmtId="4" fontId="11" fillId="0" borderId="3" xfId="0" applyNumberFormat="1" applyFont="1" applyBorder="1"/>
    <xf numFmtId="0" fontId="10" fillId="0" borderId="3" xfId="0" applyFont="1" applyBorder="1" applyAlignment="1">
      <alignment horizontal="center"/>
    </xf>
    <xf numFmtId="0" fontId="10" fillId="0" borderId="0" xfId="0" applyFont="1" applyAlignment="1">
      <alignment horizontal="left"/>
    </xf>
    <xf numFmtId="9" fontId="10" fillId="0" borderId="0" xfId="0" applyNumberFormat="1" applyFont="1"/>
    <xf numFmtId="4" fontId="10" fillId="0" borderId="3" xfId="0" applyNumberFormat="1" applyFont="1" applyBorder="1"/>
    <xf numFmtId="4" fontId="10" fillId="0" borderId="3" xfId="0" applyNumberFormat="1" applyFont="1" applyBorder="1" applyAlignment="1">
      <alignment horizontal="center"/>
    </xf>
    <xf numFmtId="9" fontId="10" fillId="0" borderId="3" xfId="0" applyNumberFormat="1" applyFont="1" applyBorder="1" applyAlignment="1">
      <alignment horizontal="center"/>
    </xf>
    <xf numFmtId="10" fontId="11" fillId="0" borderId="3" xfId="0" applyNumberFormat="1" applyFont="1" applyBorder="1" applyAlignment="1">
      <alignment horizontal="center"/>
    </xf>
    <xf numFmtId="4" fontId="10" fillId="0" borderId="3" xfId="0" applyNumberFormat="1" applyFont="1" applyBorder="1" applyAlignment="1">
      <alignment horizontal="right"/>
    </xf>
    <xf numFmtId="0" fontId="9" fillId="0" borderId="0" xfId="0" applyFont="1" applyAlignment="1">
      <alignment horizontal="left"/>
    </xf>
    <xf numFmtId="0" fontId="10" fillId="0" borderId="3" xfId="0" applyFont="1" applyBorder="1" applyAlignment="1">
      <alignment horizontal="left"/>
    </xf>
    <xf numFmtId="2" fontId="10" fillId="0" borderId="3" xfId="0" applyNumberFormat="1" applyFont="1" applyBorder="1"/>
    <xf numFmtId="2" fontId="10" fillId="0" borderId="3" xfId="0" applyNumberFormat="1" applyFont="1" applyBorder="1" applyAlignment="1">
      <alignment horizontal="right"/>
    </xf>
    <xf numFmtId="10" fontId="10" fillId="0" borderId="3" xfId="0" applyNumberFormat="1" applyFont="1" applyBorder="1"/>
    <xf numFmtId="0" fontId="10" fillId="0" borderId="0" xfId="0" quotePrefix="1" applyFont="1"/>
    <xf numFmtId="0" fontId="10" fillId="0" borderId="7" xfId="0" quotePrefix="1" applyFont="1" applyBorder="1"/>
    <xf numFmtId="0" fontId="10" fillId="0" borderId="7" xfId="0" quotePrefix="1" applyFont="1" applyBorder="1" applyAlignment="1">
      <alignment horizontal="left"/>
    </xf>
    <xf numFmtId="0" fontId="11" fillId="0" borderId="0" xfId="1" applyFont="1" applyBorder="1" applyAlignment="1">
      <alignment wrapText="1"/>
    </xf>
    <xf numFmtId="4" fontId="3" fillId="0" borderId="0" xfId="0" applyNumberFormat="1" applyFont="1"/>
    <xf numFmtId="4" fontId="0" fillId="0" borderId="3" xfId="0" applyNumberFormat="1" applyBorder="1"/>
    <xf numFmtId="4" fontId="3" fillId="0" borderId="3" xfId="0" applyNumberFormat="1" applyFont="1" applyBorder="1"/>
    <xf numFmtId="4" fontId="9" fillId="0" borderId="3" xfId="0" applyNumberFormat="1" applyFont="1" applyBorder="1"/>
    <xf numFmtId="4" fontId="11" fillId="0" borderId="0" xfId="0" applyNumberFormat="1" applyFont="1"/>
    <xf numFmtId="0" fontId="5" fillId="0" borderId="3" xfId="0" applyFont="1" applyBorder="1" applyAlignment="1">
      <alignment horizontal="left"/>
    </xf>
    <xf numFmtId="3" fontId="11" fillId="0" borderId="3" xfId="0" applyNumberFormat="1" applyFont="1" applyBorder="1" applyAlignment="1">
      <alignment horizontal="center"/>
    </xf>
    <xf numFmtId="0" fontId="11" fillId="0" borderId="3" xfId="4" applyFont="1" applyBorder="1"/>
    <xf numFmtId="9" fontId="11" fillId="0" borderId="3" xfId="3" applyFont="1" applyBorder="1"/>
    <xf numFmtId="0" fontId="5" fillId="0" borderId="0" xfId="0" applyFont="1"/>
    <xf numFmtId="10" fontId="11" fillId="0" borderId="3" xfId="0" applyNumberFormat="1" applyFont="1" applyBorder="1"/>
    <xf numFmtId="10" fontId="3" fillId="0" borderId="3" xfId="0" applyNumberFormat="1" applyFont="1" applyBorder="1"/>
    <xf numFmtId="2" fontId="3" fillId="0" borderId="3" xfId="0" applyNumberFormat="1" applyFont="1" applyBorder="1"/>
    <xf numFmtId="0" fontId="4" fillId="0" borderId="3" xfId="0" applyFont="1" applyBorder="1"/>
    <xf numFmtId="4" fontId="4" fillId="0" borderId="3" xfId="0" applyNumberFormat="1" applyFont="1" applyBorder="1"/>
    <xf numFmtId="4" fontId="10" fillId="0" borderId="0" xfId="0" applyNumberFormat="1" applyFont="1"/>
    <xf numFmtId="0" fontId="13" fillId="0" borderId="0" xfId="0" applyFont="1"/>
    <xf numFmtId="10" fontId="13" fillId="0" borderId="0" xfId="0" applyNumberFormat="1" applyFont="1"/>
    <xf numFmtId="2" fontId="3" fillId="0" borderId="0" xfId="0" applyNumberFormat="1" applyFont="1"/>
    <xf numFmtId="0" fontId="13" fillId="4" borderId="3" xfId="0" applyFont="1" applyFill="1" applyBorder="1"/>
    <xf numFmtId="10" fontId="13" fillId="4" borderId="3" xfId="0" applyNumberFormat="1" applyFont="1" applyFill="1" applyBorder="1"/>
    <xf numFmtId="2" fontId="3" fillId="4" borderId="3" xfId="0" applyNumberFormat="1" applyFont="1" applyFill="1" applyBorder="1"/>
    <xf numFmtId="169" fontId="13" fillId="4" borderId="3" xfId="6" applyNumberFormat="1" applyFont="1" applyFill="1" applyBorder="1" applyAlignment="1" applyProtection="1">
      <alignment horizontal="center"/>
    </xf>
    <xf numFmtId="2" fontId="13" fillId="4" borderId="3" xfId="6" applyNumberFormat="1" applyFont="1" applyFill="1" applyBorder="1" applyAlignment="1">
      <alignment horizontal="center"/>
    </xf>
    <xf numFmtId="10" fontId="13" fillId="4" borderId="3" xfId="6" applyNumberFormat="1" applyFont="1" applyFill="1" applyBorder="1"/>
    <xf numFmtId="10" fontId="13" fillId="4" borderId="3" xfId="6" applyNumberFormat="1" applyFont="1" applyFill="1" applyBorder="1" applyAlignment="1" applyProtection="1"/>
    <xf numFmtId="4" fontId="0" fillId="0" borderId="0" xfId="0" applyNumberFormat="1" applyAlignment="1">
      <alignment horizontal="right"/>
    </xf>
    <xf numFmtId="2" fontId="4" fillId="0" borderId="16" xfId="4" quotePrefix="1" applyNumberFormat="1" applyFont="1" applyBorder="1"/>
    <xf numFmtId="4" fontId="3" fillId="0" borderId="3" xfId="0" applyNumberFormat="1" applyFont="1" applyBorder="1" applyAlignment="1">
      <alignment horizontal="center"/>
    </xf>
    <xf numFmtId="10" fontId="0" fillId="0" borderId="3" xfId="0" applyNumberFormat="1" applyBorder="1" applyAlignment="1">
      <alignment horizontal="center"/>
    </xf>
    <xf numFmtId="10" fontId="0" fillId="0" borderId="3" xfId="3" applyNumberFormat="1" applyFont="1" applyBorder="1" applyAlignment="1">
      <alignment horizontal="center"/>
    </xf>
    <xf numFmtId="170" fontId="0" fillId="0" borderId="3" xfId="3" applyNumberFormat="1" applyFont="1" applyBorder="1" applyAlignment="1">
      <alignment horizontal="center"/>
    </xf>
    <xf numFmtId="10" fontId="3" fillId="0" borderId="3" xfId="0" applyNumberFormat="1" applyFont="1" applyBorder="1" applyAlignment="1">
      <alignment horizontal="center"/>
    </xf>
    <xf numFmtId="10" fontId="3" fillId="0" borderId="3" xfId="3" applyNumberFormat="1" applyFont="1" applyBorder="1" applyAlignment="1">
      <alignment horizontal="center"/>
    </xf>
    <xf numFmtId="0" fontId="5" fillId="0" borderId="0" xfId="0" applyFont="1" applyAlignment="1">
      <alignment horizontal="left"/>
    </xf>
    <xf numFmtId="10" fontId="11" fillId="0" borderId="0" xfId="0" applyNumberFormat="1" applyFont="1"/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4" fontId="11" fillId="0" borderId="3" xfId="0" applyNumberFormat="1" applyFont="1" applyBorder="1" applyAlignment="1">
      <alignment horizontal="center"/>
    </xf>
    <xf numFmtId="43" fontId="9" fillId="0" borderId="3" xfId="5" applyFont="1" applyBorder="1"/>
    <xf numFmtId="43" fontId="10" fillId="0" borderId="3" xfId="5" applyFont="1" applyBorder="1"/>
    <xf numFmtId="43" fontId="10" fillId="0" borderId="3" xfId="0" applyNumberFormat="1" applyFont="1" applyBorder="1"/>
    <xf numFmtId="43" fontId="9" fillId="0" borderId="3" xfId="0" applyNumberFormat="1" applyFont="1" applyBorder="1"/>
    <xf numFmtId="43" fontId="10" fillId="0" borderId="0" xfId="5" applyFont="1"/>
    <xf numFmtId="43" fontId="9" fillId="0" borderId="0" xfId="5" applyFont="1" applyAlignment="1">
      <alignment horizontal="center"/>
    </xf>
    <xf numFmtId="43" fontId="10" fillId="0" borderId="0" xfId="5" applyFont="1" applyBorder="1"/>
    <xf numFmtId="43" fontId="10" fillId="0" borderId="6" xfId="5" applyFont="1" applyBorder="1" applyAlignment="1">
      <alignment horizontal="center"/>
    </xf>
    <xf numFmtId="43" fontId="9" fillId="0" borderId="0" xfId="5" applyFont="1" applyBorder="1"/>
    <xf numFmtId="4" fontId="10" fillId="0" borderId="4" xfId="0" applyNumberFormat="1" applyFont="1" applyBorder="1"/>
    <xf numFmtId="4" fontId="10" fillId="0" borderId="5" xfId="0" applyNumberFormat="1" applyFont="1" applyBorder="1"/>
    <xf numFmtId="10" fontId="10" fillId="0" borderId="6" xfId="0" applyNumberFormat="1" applyFont="1" applyBorder="1"/>
    <xf numFmtId="43" fontId="9" fillId="0" borderId="0" xfId="0" applyNumberFormat="1" applyFont="1"/>
    <xf numFmtId="0" fontId="9" fillId="0" borderId="0" xfId="0" applyFont="1" applyAlignment="1">
      <alignment wrapText="1"/>
    </xf>
    <xf numFmtId="43" fontId="10" fillId="0" borderId="0" xfId="0" applyNumberFormat="1" applyFont="1"/>
    <xf numFmtId="10" fontId="10" fillId="0" borderId="3" xfId="5" applyNumberFormat="1" applyFont="1" applyBorder="1"/>
    <xf numFmtId="10" fontId="9" fillId="0" borderId="3" xfId="5" applyNumberFormat="1" applyFont="1" applyBorder="1"/>
    <xf numFmtId="10" fontId="10" fillId="0" borderId="3" xfId="3" applyNumberFormat="1" applyFont="1" applyBorder="1"/>
    <xf numFmtId="10" fontId="9" fillId="0" borderId="3" xfId="0" applyNumberFormat="1" applyFont="1" applyBorder="1"/>
    <xf numFmtId="0" fontId="5" fillId="0" borderId="3" xfId="0" applyFont="1" applyBorder="1" applyAlignment="1">
      <alignment horizontal="center" wrapText="1"/>
    </xf>
    <xf numFmtId="0" fontId="5" fillId="0" borderId="0" xfId="2" applyFont="1" applyBorder="1" applyAlignment="1"/>
    <xf numFmtId="2" fontId="9" fillId="0" borderId="0" xfId="0" quotePrefix="1" applyNumberFormat="1" applyFont="1"/>
    <xf numFmtId="0" fontId="9" fillId="0" borderId="0" xfId="0" quotePrefix="1" applyFont="1" applyAlignment="1">
      <alignment horizontal="left"/>
    </xf>
    <xf numFmtId="0" fontId="9" fillId="0" borderId="0" xfId="0" quotePrefix="1" applyFont="1"/>
    <xf numFmtId="0" fontId="5" fillId="0" borderId="7" xfId="2" applyFont="1" applyBorder="1" applyAlignment="1">
      <alignment horizontal="left"/>
    </xf>
    <xf numFmtId="0" fontId="5" fillId="0" borderId="0" xfId="2" applyFont="1" applyBorder="1" applyAlignment="1">
      <alignment horizontal="left"/>
    </xf>
    <xf numFmtId="0" fontId="3" fillId="0" borderId="3" xfId="0" applyFont="1" applyBorder="1" applyAlignment="1">
      <alignment horizontal="center"/>
    </xf>
    <xf numFmtId="0" fontId="10" fillId="0" borderId="0" xfId="0" applyFont="1" applyAlignment="1">
      <alignment horizontal="center" shrinkToFit="1"/>
    </xf>
    <xf numFmtId="0" fontId="6" fillId="0" borderId="3" xfId="2" applyFont="1" applyBorder="1" applyAlignment="1">
      <alignment horizontal="center"/>
    </xf>
    <xf numFmtId="0" fontId="3" fillId="0" borderId="0" xfId="0" applyFont="1"/>
    <xf numFmtId="0" fontId="0" fillId="0" borderId="3" xfId="0" applyBorder="1"/>
    <xf numFmtId="0" fontId="0" fillId="0" borderId="0" xfId="0" quotePrefix="1"/>
    <xf numFmtId="4" fontId="0" fillId="0" borderId="0" xfId="0" quotePrefix="1" applyNumberFormat="1"/>
    <xf numFmtId="0" fontId="6" fillId="0" borderId="3" xfId="0" applyFont="1" applyBorder="1"/>
    <xf numFmtId="2" fontId="6" fillId="0" borderId="3" xfId="0" applyNumberFormat="1" applyFont="1" applyBorder="1"/>
    <xf numFmtId="2" fontId="0" fillId="0" borderId="3" xfId="0" applyNumberFormat="1" applyBorder="1"/>
    <xf numFmtId="0" fontId="6" fillId="0" borderId="0" xfId="2" applyFont="1" applyBorder="1" applyAlignment="1">
      <alignment horizontal="center"/>
    </xf>
    <xf numFmtId="2" fontId="0" fillId="0" borderId="0" xfId="0" applyNumberFormat="1"/>
    <xf numFmtId="2" fontId="4" fillId="0" borderId="3" xfId="2" quotePrefix="1" applyNumberFormat="1" applyFont="1" applyBorder="1" applyAlignment="1">
      <alignment horizontal="center"/>
    </xf>
    <xf numFmtId="2" fontId="6" fillId="0" borderId="3" xfId="2" applyNumberFormat="1" applyFont="1" applyBorder="1" applyAlignment="1">
      <alignment horizontal="center"/>
    </xf>
    <xf numFmtId="4" fontId="0" fillId="0" borderId="0" xfId="0" applyNumberFormat="1"/>
    <xf numFmtId="10" fontId="0" fillId="0" borderId="0" xfId="0" applyNumberFormat="1"/>
    <xf numFmtId="0" fontId="0" fillId="0" borderId="0" xfId="0" applyAlignment="1">
      <alignment wrapText="1"/>
    </xf>
    <xf numFmtId="10" fontId="3" fillId="0" borderId="0" xfId="0" applyNumberFormat="1" applyFont="1"/>
    <xf numFmtId="0" fontId="3" fillId="0" borderId="3" xfId="0" applyFont="1" applyBorder="1"/>
    <xf numFmtId="0" fontId="6" fillId="0" borderId="3" xfId="2" applyFont="1" applyBorder="1"/>
    <xf numFmtId="0" fontId="6" fillId="4" borderId="3" xfId="0" applyFont="1" applyFill="1" applyBorder="1"/>
    <xf numFmtId="0" fontId="6" fillId="4" borderId="3" xfId="0" quotePrefix="1" applyFont="1" applyFill="1" applyBorder="1"/>
    <xf numFmtId="10" fontId="0" fillId="0" borderId="3" xfId="0" applyNumberFormat="1" applyBorder="1"/>
    <xf numFmtId="4" fontId="4" fillId="4" borderId="3" xfId="0" applyNumberFormat="1" applyFont="1" applyFill="1" applyBorder="1"/>
    <xf numFmtId="0" fontId="0" fillId="4" borderId="3" xfId="0" applyFill="1" applyBorder="1"/>
    <xf numFmtId="4" fontId="0" fillId="4" borderId="3" xfId="0" applyNumberFormat="1" applyFill="1" applyBorder="1"/>
    <xf numFmtId="0" fontId="0" fillId="0" borderId="0" xfId="0" applyAlignment="1">
      <alignment horizontal="center"/>
    </xf>
    <xf numFmtId="2" fontId="0" fillId="4" borderId="3" xfId="0" applyNumberFormat="1" applyFill="1" applyBorder="1"/>
    <xf numFmtId="0" fontId="8" fillId="0" borderId="3" xfId="4" applyBorder="1"/>
    <xf numFmtId="0" fontId="4" fillId="0" borderId="17" xfId="0" applyFont="1" applyBorder="1"/>
    <xf numFmtId="0" fontId="4" fillId="0" borderId="18" xfId="0" applyFont="1" applyBorder="1"/>
    <xf numFmtId="168" fontId="4" fillId="4" borderId="3" xfId="0" applyNumberFormat="1" applyFont="1" applyFill="1" applyBorder="1"/>
    <xf numFmtId="10" fontId="4" fillId="4" borderId="3" xfId="0" applyNumberFormat="1" applyFont="1" applyFill="1" applyBorder="1"/>
    <xf numFmtId="2" fontId="4" fillId="4" borderId="3" xfId="0" applyNumberFormat="1" applyFont="1" applyFill="1" applyBorder="1"/>
    <xf numFmtId="2" fontId="6" fillId="4" borderId="3" xfId="0" applyNumberFormat="1" applyFont="1" applyFill="1" applyBorder="1"/>
    <xf numFmtId="0" fontId="4" fillId="0" borderId="0" xfId="0" applyFont="1"/>
    <xf numFmtId="0" fontId="4" fillId="0" borderId="0" xfId="0" applyFont="1" applyAlignment="1">
      <alignment horizontal="left" wrapText="1"/>
    </xf>
    <xf numFmtId="43" fontId="6" fillId="3" borderId="3" xfId="5" applyFont="1" applyFill="1" applyBorder="1" applyAlignment="1" applyProtection="1">
      <alignment horizontal="center"/>
    </xf>
    <xf numFmtId="4" fontId="6" fillId="0" borderId="18" xfId="0" applyNumberFormat="1" applyFont="1" applyBorder="1" applyAlignment="1">
      <alignment horizontal="center"/>
    </xf>
    <xf numFmtId="0" fontId="4" fillId="0" borderId="19" xfId="0" applyFont="1" applyBorder="1"/>
    <xf numFmtId="43" fontId="4" fillId="4" borderId="3" xfId="5" applyFont="1" applyFill="1" applyBorder="1" applyAlignment="1" applyProtection="1">
      <alignment wrapText="1"/>
    </xf>
    <xf numFmtId="0" fontId="4" fillId="4" borderId="3" xfId="0" applyFont="1" applyFill="1" applyBorder="1" applyAlignment="1">
      <alignment wrapText="1"/>
    </xf>
    <xf numFmtId="0" fontId="4" fillId="4" borderId="3" xfId="0" applyFont="1" applyFill="1" applyBorder="1"/>
    <xf numFmtId="0" fontId="4" fillId="4" borderId="0" xfId="0" applyFont="1" applyFill="1"/>
    <xf numFmtId="43" fontId="4" fillId="4" borderId="3" xfId="5" applyFont="1" applyFill="1" applyBorder="1" applyAlignment="1" applyProtection="1">
      <alignment horizontal="center"/>
    </xf>
    <xf numFmtId="4" fontId="4" fillId="4" borderId="3" xfId="0" applyNumberFormat="1" applyFont="1" applyFill="1" applyBorder="1" applyAlignment="1">
      <alignment horizontal="center"/>
    </xf>
    <xf numFmtId="2" fontId="6" fillId="4" borderId="3" xfId="0" applyNumberFormat="1" applyFont="1" applyFill="1" applyBorder="1" applyAlignment="1">
      <alignment horizontal="right"/>
    </xf>
    <xf numFmtId="43" fontId="0" fillId="0" borderId="0" xfId="0" applyNumberFormat="1"/>
    <xf numFmtId="2" fontId="4" fillId="0" borderId="18" xfId="0" applyNumberFormat="1" applyFont="1" applyBorder="1"/>
    <xf numFmtId="2" fontId="4" fillId="0" borderId="17" xfId="0" applyNumberFormat="1" applyFont="1" applyBorder="1"/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wrapText="1"/>
    </xf>
    <xf numFmtId="43" fontId="4" fillId="0" borderId="3" xfId="5" applyFont="1" applyFill="1" applyBorder="1" applyAlignment="1" applyProtection="1">
      <alignment horizontal="center"/>
    </xf>
    <xf numFmtId="10" fontId="4" fillId="0" borderId="3" xfId="5" applyNumberFormat="1" applyFont="1" applyFill="1" applyBorder="1" applyAlignment="1" applyProtection="1"/>
    <xf numFmtId="2" fontId="4" fillId="0" borderId="3" xfId="5" applyNumberFormat="1" applyFont="1" applyFill="1" applyBorder="1" applyAlignment="1" applyProtection="1"/>
    <xf numFmtId="0" fontId="0" fillId="0" borderId="0" xfId="0" quotePrefix="1" applyAlignment="1">
      <alignment horizontal="left" wrapText="1"/>
    </xf>
    <xf numFmtId="164" fontId="10" fillId="0" borderId="0" xfId="0" applyNumberFormat="1" applyFont="1" applyAlignment="1">
      <alignment horizontal="right"/>
    </xf>
    <xf numFmtId="164" fontId="9" fillId="0" borderId="3" xfId="0" applyNumberFormat="1" applyFont="1" applyBorder="1"/>
    <xf numFmtId="2" fontId="9" fillId="0" borderId="3" xfId="0" applyNumberFormat="1" applyFont="1" applyBorder="1"/>
    <xf numFmtId="0" fontId="11" fillId="4" borderId="3" xfId="0" applyFont="1" applyFill="1" applyBorder="1" applyAlignment="1">
      <alignment horizontal="left"/>
    </xf>
    <xf numFmtId="164" fontId="11" fillId="4" borderId="3" xfId="0" applyNumberFormat="1" applyFont="1" applyFill="1" applyBorder="1"/>
    <xf numFmtId="0" fontId="11" fillId="4" borderId="4" xfId="0" applyFont="1" applyFill="1" applyBorder="1" applyAlignment="1">
      <alignment horizontal="left"/>
    </xf>
    <xf numFmtId="164" fontId="11" fillId="4" borderId="6" xfId="0" applyNumberFormat="1" applyFont="1" applyFill="1" applyBorder="1"/>
    <xf numFmtId="164" fontId="5" fillId="4" borderId="3" xfId="0" applyNumberFormat="1" applyFont="1" applyFill="1" applyBorder="1" applyAlignment="1">
      <alignment horizontal="right"/>
    </xf>
    <xf numFmtId="0" fontId="11" fillId="0" borderId="4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5" fillId="0" borderId="11" xfId="4" applyFont="1" applyBorder="1" applyAlignment="1">
      <alignment horizontal="left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5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11" fillId="0" borderId="4" xfId="0" applyFont="1" applyBorder="1" applyAlignment="1">
      <alignment horizontal="left" wrapText="1"/>
    </xf>
    <xf numFmtId="0" fontId="11" fillId="0" borderId="6" xfId="0" applyFont="1" applyBorder="1" applyAlignment="1">
      <alignment horizontal="left" wrapText="1"/>
    </xf>
    <xf numFmtId="0" fontId="9" fillId="0" borderId="11" xfId="0" applyFont="1" applyBorder="1" applyAlignment="1">
      <alignment horizontal="left"/>
    </xf>
    <xf numFmtId="0" fontId="11" fillId="0" borderId="3" xfId="0" applyFont="1" applyBorder="1" applyAlignment="1">
      <alignment horizontal="left" vertical="center"/>
    </xf>
    <xf numFmtId="0" fontId="9" fillId="0" borderId="0" xfId="0" applyFont="1" applyAlignment="1">
      <alignment horizontal="left" shrinkToFit="1"/>
    </xf>
    <xf numFmtId="0" fontId="10" fillId="0" borderId="3" xfId="0" applyFont="1" applyBorder="1" applyAlignment="1">
      <alignment horizontal="left"/>
    </xf>
    <xf numFmtId="0" fontId="11" fillId="0" borderId="3" xfId="4" applyFont="1" applyBorder="1"/>
    <xf numFmtId="0" fontId="11" fillId="0" borderId="4" xfId="4" applyFont="1" applyBorder="1" applyAlignment="1">
      <alignment horizontal="right"/>
    </xf>
    <xf numFmtId="0" fontId="11" fillId="0" borderId="6" xfId="4" applyFont="1" applyBorder="1" applyAlignment="1">
      <alignment horizontal="right"/>
    </xf>
    <xf numFmtId="0" fontId="11" fillId="0" borderId="4" xfId="4" applyFont="1" applyBorder="1" applyAlignment="1">
      <alignment horizontal="center"/>
    </xf>
    <xf numFmtId="0" fontId="11" fillId="0" borderId="6" xfId="4" applyFont="1" applyBorder="1" applyAlignment="1">
      <alignment horizontal="center"/>
    </xf>
    <xf numFmtId="0" fontId="9" fillId="0" borderId="12" xfId="0" applyFont="1" applyBorder="1" applyAlignment="1">
      <alignment horizontal="left"/>
    </xf>
    <xf numFmtId="0" fontId="10" fillId="0" borderId="4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11" fillId="0" borderId="4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3" xfId="0" applyFont="1" applyBorder="1" applyAlignment="1">
      <alignment horizontal="left" wrapText="1"/>
    </xf>
    <xf numFmtId="0" fontId="5" fillId="0" borderId="4" xfId="2" applyFont="1" applyBorder="1" applyAlignment="1">
      <alignment horizontal="left"/>
    </xf>
    <xf numFmtId="0" fontId="5" fillId="0" borderId="5" xfId="2" applyFont="1" applyBorder="1" applyAlignment="1">
      <alignment horizontal="left"/>
    </xf>
    <xf numFmtId="0" fontId="5" fillId="0" borderId="6" xfId="2" applyFont="1" applyBorder="1" applyAlignment="1">
      <alignment horizontal="left"/>
    </xf>
    <xf numFmtId="0" fontId="5" fillId="0" borderId="0" xfId="2" applyFont="1" applyBorder="1"/>
    <xf numFmtId="0" fontId="11" fillId="0" borderId="3" xfId="0" applyFont="1" applyBorder="1"/>
    <xf numFmtId="0" fontId="5" fillId="0" borderId="7" xfId="2" applyFont="1" applyBorder="1" applyAlignment="1">
      <alignment horizontal="center"/>
    </xf>
    <xf numFmtId="0" fontId="5" fillId="0" borderId="0" xfId="2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1" fillId="0" borderId="9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9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5" fillId="0" borderId="4" xfId="1" applyFont="1" applyBorder="1" applyAlignment="1">
      <alignment horizontal="left" wrapText="1"/>
    </xf>
    <xf numFmtId="0" fontId="5" fillId="0" borderId="5" xfId="1" applyFont="1" applyBorder="1" applyAlignment="1">
      <alignment horizontal="left" wrapText="1"/>
    </xf>
    <xf numFmtId="0" fontId="5" fillId="4" borderId="4" xfId="0" applyFont="1" applyFill="1" applyBorder="1" applyAlignment="1">
      <alignment horizontal="right"/>
    </xf>
    <xf numFmtId="0" fontId="5" fillId="4" borderId="5" xfId="0" applyFont="1" applyFill="1" applyBorder="1" applyAlignment="1">
      <alignment horizontal="right"/>
    </xf>
    <xf numFmtId="0" fontId="5" fillId="4" borderId="6" xfId="0" applyFont="1" applyFill="1" applyBorder="1" applyAlignment="1">
      <alignment horizontal="right"/>
    </xf>
    <xf numFmtId="0" fontId="5" fillId="0" borderId="0" xfId="2" applyFont="1" applyBorder="1" applyAlignment="1">
      <alignment horizontal="left"/>
    </xf>
    <xf numFmtId="0" fontId="5" fillId="0" borderId="12" xfId="1" applyFont="1" applyBorder="1" applyAlignment="1">
      <alignment horizontal="left" wrapText="1"/>
    </xf>
    <xf numFmtId="0" fontId="11" fillId="0" borderId="12" xfId="1" applyFont="1" applyBorder="1" applyAlignment="1">
      <alignment horizontal="left" wrapText="1"/>
    </xf>
    <xf numFmtId="0" fontId="11" fillId="0" borderId="0" xfId="1" applyFont="1" applyBorder="1" applyAlignment="1">
      <alignment horizontal="left" wrapText="1"/>
    </xf>
    <xf numFmtId="0" fontId="5" fillId="0" borderId="3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/>
    </xf>
    <xf numFmtId="0" fontId="5" fillId="0" borderId="11" xfId="2" applyFont="1" applyBorder="1" applyAlignment="1">
      <alignment horizontal="left"/>
    </xf>
    <xf numFmtId="0" fontId="0" fillId="0" borderId="11" xfId="0" applyBorder="1" applyAlignment="1">
      <alignment horizontal="left" indent="21"/>
    </xf>
    <xf numFmtId="0" fontId="3" fillId="0" borderId="4" xfId="0" applyFont="1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righ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3" xfId="0" applyBorder="1" applyAlignment="1">
      <alignment horizontal="left"/>
    </xf>
    <xf numFmtId="0" fontId="4" fillId="0" borderId="7" xfId="0" applyFont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15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4" fillId="0" borderId="14" xfId="0" applyFont="1" applyBorder="1" applyAlignment="1">
      <alignment horizontal="left" wrapText="1"/>
    </xf>
    <xf numFmtId="0" fontId="4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 wrapText="1"/>
    </xf>
    <xf numFmtId="0" fontId="3" fillId="0" borderId="3" xfId="0" applyFont="1" applyBorder="1" applyAlignment="1">
      <alignment horizontal="left"/>
    </xf>
    <xf numFmtId="0" fontId="6" fillId="0" borderId="3" xfId="4" applyFont="1" applyBorder="1"/>
    <xf numFmtId="0" fontId="6" fillId="4" borderId="3" xfId="0" applyFont="1" applyFill="1" applyBorder="1" applyAlignment="1">
      <alignment horizontal="center" wrapText="1"/>
    </xf>
    <xf numFmtId="10" fontId="0" fillId="4" borderId="3" xfId="0" applyNumberFormat="1" applyFill="1" applyBorder="1" applyAlignment="1">
      <alignment horizontal="left" wrapText="1"/>
    </xf>
    <xf numFmtId="43" fontId="6" fillId="4" borderId="9" xfId="5" applyFont="1" applyFill="1" applyBorder="1" applyAlignment="1" applyProtection="1">
      <alignment horizontal="center" wrapText="1"/>
    </xf>
    <xf numFmtId="43" fontId="6" fillId="4" borderId="10" xfId="5" applyFont="1" applyFill="1" applyBorder="1" applyAlignment="1" applyProtection="1">
      <alignment horizontal="center" wrapText="1"/>
    </xf>
    <xf numFmtId="0" fontId="6" fillId="4" borderId="9" xfId="0" applyFont="1" applyFill="1" applyBorder="1" applyAlignment="1">
      <alignment horizontal="center" wrapText="1"/>
    </xf>
    <xf numFmtId="0" fontId="6" fillId="4" borderId="10" xfId="0" applyFont="1" applyFill="1" applyBorder="1" applyAlignment="1">
      <alignment horizontal="center" wrapText="1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6" xfId="0" applyFont="1" applyFill="1" applyBorder="1" applyAlignment="1">
      <alignment horizontal="left"/>
    </xf>
    <xf numFmtId="0" fontId="6" fillId="0" borderId="3" xfId="2" applyFont="1" applyBorder="1"/>
    <xf numFmtId="10" fontId="0" fillId="0" borderId="10" xfId="0" applyNumberFormat="1" applyBorder="1" applyAlignment="1">
      <alignment horizontal="center"/>
    </xf>
    <xf numFmtId="10" fontId="0" fillId="0" borderId="13" xfId="0" applyNumberFormat="1" applyBorder="1" applyAlignment="1">
      <alignment horizontal="center"/>
    </xf>
    <xf numFmtId="10" fontId="4" fillId="0" borderId="3" xfId="0" applyNumberFormat="1" applyFont="1" applyBorder="1" applyAlignment="1">
      <alignment horizontal="center"/>
    </xf>
    <xf numFmtId="10" fontId="4" fillId="0" borderId="4" xfId="0" applyNumberFormat="1" applyFont="1" applyBorder="1" applyAlignment="1">
      <alignment horizontal="center"/>
    </xf>
    <xf numFmtId="10" fontId="0" fillId="0" borderId="3" xfId="0" applyNumberFormat="1" applyBorder="1" applyAlignment="1">
      <alignment horizontal="center"/>
    </xf>
    <xf numFmtId="10" fontId="0" fillId="0" borderId="4" xfId="0" applyNumberFormat="1" applyBorder="1" applyAlignment="1">
      <alignment horizontal="center"/>
    </xf>
    <xf numFmtId="0" fontId="0" fillId="0" borderId="13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4" xfId="0" applyBorder="1" applyAlignment="1">
      <alignment horizontal="left"/>
    </xf>
    <xf numFmtId="0" fontId="6" fillId="0" borderId="3" xfId="0" applyFont="1" applyBorder="1"/>
    <xf numFmtId="0" fontId="6" fillId="0" borderId="3" xfId="0" applyFont="1" applyBorder="1" applyAlignment="1">
      <alignment vertical="top"/>
    </xf>
    <xf numFmtId="0" fontId="3" fillId="0" borderId="3" xfId="0" applyFont="1" applyBorder="1" applyAlignment="1">
      <alignment horizontal="right"/>
    </xf>
    <xf numFmtId="10" fontId="3" fillId="0" borderId="3" xfId="0" applyNumberFormat="1" applyFont="1" applyBorder="1" applyAlignment="1">
      <alignment horizontal="center"/>
    </xf>
    <xf numFmtId="10" fontId="3" fillId="0" borderId="4" xfId="0" applyNumberFormat="1" applyFont="1" applyBorder="1" applyAlignment="1">
      <alignment horizontal="center"/>
    </xf>
    <xf numFmtId="0" fontId="0" fillId="0" borderId="3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3" fillId="0" borderId="0" xfId="0" applyFont="1"/>
    <xf numFmtId="0" fontId="6" fillId="0" borderId="0" xfId="2" applyFont="1" applyBorder="1"/>
    <xf numFmtId="0" fontId="6" fillId="0" borderId="4" xfId="2" applyFont="1" applyBorder="1" applyAlignment="1">
      <alignment horizontal="left"/>
    </xf>
    <xf numFmtId="0" fontId="6" fillId="0" borderId="5" xfId="2" applyFont="1" applyBorder="1" applyAlignment="1">
      <alignment horizontal="left"/>
    </xf>
    <xf numFmtId="0" fontId="6" fillId="0" borderId="6" xfId="2" applyFont="1" applyBorder="1" applyAlignment="1">
      <alignment horizontal="left"/>
    </xf>
    <xf numFmtId="0" fontId="6" fillId="4" borderId="0" xfId="0" applyFont="1" applyFill="1" applyAlignment="1">
      <alignment horizontal="center" wrapText="1"/>
    </xf>
    <xf numFmtId="0" fontId="6" fillId="4" borderId="11" xfId="0" applyFont="1" applyFill="1" applyBorder="1" applyAlignment="1">
      <alignment horizontal="center" wrapText="1"/>
    </xf>
    <xf numFmtId="43" fontId="6" fillId="4" borderId="3" xfId="5" applyFont="1" applyFill="1" applyBorder="1" applyAlignment="1" applyProtection="1">
      <alignment horizontal="center" wrapText="1"/>
    </xf>
    <xf numFmtId="0" fontId="0" fillId="4" borderId="3" xfId="0" applyFill="1" applyBorder="1" applyAlignment="1">
      <alignment horizontal="center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4" fillId="0" borderId="20" xfId="4" applyFont="1" applyBorder="1" applyAlignment="1">
      <alignment horizontal="left" wrapText="1"/>
    </xf>
    <xf numFmtId="0" fontId="6" fillId="0" borderId="12" xfId="4" applyFont="1" applyBorder="1" applyAlignment="1">
      <alignment horizontal="left" wrapText="1"/>
    </xf>
    <xf numFmtId="0" fontId="6" fillId="0" borderId="21" xfId="4" applyFont="1" applyBorder="1" applyAlignment="1">
      <alignment horizontal="left" wrapText="1"/>
    </xf>
    <xf numFmtId="4" fontId="0" fillId="0" borderId="16" xfId="0" applyNumberFormat="1" applyBorder="1" applyAlignment="1">
      <alignment horizontal="right"/>
    </xf>
    <xf numFmtId="4" fontId="0" fillId="0" borderId="10" xfId="0" applyNumberFormat="1" applyBorder="1" applyAlignment="1">
      <alignment horizontal="right"/>
    </xf>
    <xf numFmtId="0" fontId="6" fillId="4" borderId="4" xfId="0" applyFont="1" applyFill="1" applyBorder="1" applyAlignment="1">
      <alignment horizontal="left"/>
    </xf>
    <xf numFmtId="0" fontId="6" fillId="4" borderId="5" xfId="0" applyFont="1" applyFill="1" applyBorder="1" applyAlignment="1">
      <alignment horizontal="left"/>
    </xf>
    <xf numFmtId="0" fontId="6" fillId="4" borderId="6" xfId="0" applyFont="1" applyFill="1" applyBorder="1" applyAlignment="1">
      <alignment horizontal="left"/>
    </xf>
    <xf numFmtId="0" fontId="4" fillId="0" borderId="0" xfId="0" quotePrefix="1" applyFont="1" applyAlignment="1">
      <alignment horizontal="left" wrapText="1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6" fillId="0" borderId="4" xfId="2" applyFont="1" applyBorder="1" applyAlignment="1">
      <alignment horizontal="center"/>
    </xf>
    <xf numFmtId="0" fontId="6" fillId="0" borderId="5" xfId="2" applyFont="1" applyBorder="1" applyAlignment="1">
      <alignment horizontal="center"/>
    </xf>
    <xf numFmtId="0" fontId="6" fillId="0" borderId="6" xfId="2" applyFont="1" applyBorder="1" applyAlignment="1">
      <alignment horizontal="center"/>
    </xf>
    <xf numFmtId="0" fontId="4" fillId="0" borderId="4" xfId="2" applyFont="1" applyBorder="1" applyAlignment="1">
      <alignment horizontal="left"/>
    </xf>
    <xf numFmtId="10" fontId="0" fillId="0" borderId="0" xfId="0" applyNumberFormat="1" applyAlignment="1">
      <alignment horizontal="left" wrapText="1"/>
    </xf>
    <xf numFmtId="0" fontId="4" fillId="0" borderId="3" xfId="0" applyFont="1" applyBorder="1"/>
    <xf numFmtId="0" fontId="13" fillId="0" borderId="4" xfId="0" applyFont="1" applyBorder="1" applyAlignment="1">
      <alignment horizontal="left"/>
    </xf>
    <xf numFmtId="0" fontId="13" fillId="0" borderId="5" xfId="0" applyFont="1" applyBorder="1" applyAlignment="1">
      <alignment horizontal="left"/>
    </xf>
    <xf numFmtId="0" fontId="13" fillId="0" borderId="6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4" fontId="5" fillId="0" borderId="0" xfId="2" applyNumberFormat="1" applyFont="1" applyBorder="1" applyAlignment="1">
      <alignment horizontal="left"/>
    </xf>
    <xf numFmtId="0" fontId="10" fillId="0" borderId="0" xfId="0" applyFont="1" applyAlignment="1">
      <alignment horizontal="left" wrapText="1"/>
    </xf>
    <xf numFmtId="0" fontId="12" fillId="0" borderId="0" xfId="0" applyFont="1" applyAlignment="1">
      <alignment horizontal="center"/>
    </xf>
    <xf numFmtId="4" fontId="5" fillId="0" borderId="0" xfId="1" applyNumberFormat="1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4" fontId="5" fillId="0" borderId="0" xfId="0" applyNumberFormat="1" applyFont="1" applyAlignment="1">
      <alignment horizontal="left"/>
    </xf>
    <xf numFmtId="4" fontId="10" fillId="0" borderId="3" xfId="0" applyNumberFormat="1" applyFont="1" applyBorder="1" applyAlignment="1">
      <alignment horizontal="left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4" fontId="11" fillId="0" borderId="3" xfId="0" applyNumberFormat="1" applyFont="1" applyBorder="1" applyAlignment="1">
      <alignment horizontal="left"/>
    </xf>
    <xf numFmtId="4" fontId="5" fillId="0" borderId="0" xfId="2" applyNumberFormat="1" applyFont="1" applyBorder="1" applyAlignment="1"/>
    <xf numFmtId="4" fontId="11" fillId="0" borderId="3" xfId="0" applyNumberFormat="1" applyFont="1" applyBorder="1"/>
    <xf numFmtId="4" fontId="5" fillId="0" borderId="3" xfId="2" applyNumberFormat="1" applyFont="1" applyBorder="1" applyAlignment="1">
      <alignment horizontal="right"/>
    </xf>
    <xf numFmtId="0" fontId="9" fillId="0" borderId="10" xfId="0" applyFont="1" applyBorder="1" applyAlignment="1">
      <alignment horizontal="right"/>
    </xf>
    <xf numFmtId="4" fontId="5" fillId="0" borderId="3" xfId="0" applyNumberFormat="1" applyFont="1" applyBorder="1" applyAlignment="1">
      <alignment horizontal="left"/>
    </xf>
    <xf numFmtId="4" fontId="5" fillId="0" borderId="11" xfId="2" applyNumberFormat="1" applyFont="1" applyBorder="1" applyAlignment="1">
      <alignment horizontal="left"/>
    </xf>
  </cellXfs>
  <cellStyles count="7">
    <cellStyle name="20% - Ênfase6" xfId="6" builtinId="50"/>
    <cellStyle name="Normal" xfId="0" builtinId="0"/>
    <cellStyle name="Porcentagem" xfId="3" builtinId="5"/>
    <cellStyle name="Título 1" xfId="1" builtinId="16"/>
    <cellStyle name="Título 2" xfId="2" builtinId="17"/>
    <cellStyle name="Título 3" xfId="4" builtinId="18"/>
    <cellStyle name="Vírgula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19050</xdr:colOff>
      <xdr:row>1</xdr:row>
      <xdr:rowOff>47625</xdr:rowOff>
    </xdr:from>
    <xdr:to>
      <xdr:col>5</xdr:col>
      <xdr:colOff>114300</xdr:colOff>
      <xdr:row>6</xdr:row>
      <xdr:rowOff>5378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7C33D06-F100-4266-A180-5434DCDD2F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14725" y="247650"/>
          <a:ext cx="895350" cy="9578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J121"/>
  <sheetViews>
    <sheetView tabSelected="1" view="pageBreakPreview" topLeftCell="A53" zoomScaleNormal="100" zoomScaleSheetLayoutView="100" workbookViewId="0">
      <selection activeCell="G69" sqref="G69"/>
    </sheetView>
  </sheetViews>
  <sheetFormatPr defaultRowHeight="15.75" x14ac:dyDescent="0.25"/>
  <cols>
    <col min="1" max="1" width="9.140625" style="4"/>
    <col min="2" max="2" width="12.140625" style="4" customWidth="1"/>
    <col min="3" max="3" width="21" style="4" customWidth="1"/>
    <col min="4" max="4" width="10.140625" style="4" bestFit="1" customWidth="1"/>
    <col min="5" max="5" width="12" style="4" customWidth="1"/>
    <col min="6" max="16384" width="9.140625" style="4"/>
  </cols>
  <sheetData>
    <row r="2" spans="2:9" x14ac:dyDescent="0.25">
      <c r="B2" s="199" t="s">
        <v>177</v>
      </c>
      <c r="C2" s="199"/>
      <c r="D2" s="199"/>
      <c r="E2" s="199"/>
      <c r="F2" s="199"/>
      <c r="G2" s="199"/>
      <c r="H2" s="199"/>
      <c r="I2" s="119"/>
    </row>
    <row r="3" spans="2:9" x14ac:dyDescent="0.25">
      <c r="B3" s="225" t="s">
        <v>178</v>
      </c>
      <c r="C3" s="226"/>
      <c r="D3" s="226"/>
      <c r="E3" s="226"/>
      <c r="F3" s="226"/>
      <c r="G3" s="226"/>
      <c r="H3" s="226"/>
    </row>
    <row r="4" spans="2:9" x14ac:dyDescent="0.25">
      <c r="B4" s="5" t="s">
        <v>12</v>
      </c>
      <c r="C4" s="44" t="s">
        <v>0</v>
      </c>
      <c r="D4" s="44"/>
      <c r="E4" s="44"/>
      <c r="F4" s="44"/>
      <c r="G4" s="44"/>
      <c r="H4" s="44"/>
      <c r="I4" s="44"/>
    </row>
    <row r="6" spans="2:9" x14ac:dyDescent="0.25">
      <c r="B6" s="44" t="s">
        <v>188</v>
      </c>
      <c r="C6" s="44"/>
      <c r="D6" s="3">
        <v>8</v>
      </c>
      <c r="E6" s="44"/>
      <c r="F6" s="44"/>
      <c r="G6" s="44"/>
      <c r="H6" s="44"/>
      <c r="I6" s="44"/>
    </row>
    <row r="8" spans="2:9" x14ac:dyDescent="0.25">
      <c r="B8" s="216" t="s">
        <v>4</v>
      </c>
      <c r="C8" s="216"/>
      <c r="D8" s="216"/>
      <c r="E8" s="216"/>
    </row>
    <row r="9" spans="2:9" x14ac:dyDescent="0.25">
      <c r="B9" s="217" t="s">
        <v>1</v>
      </c>
      <c r="C9" s="217"/>
      <c r="D9" s="217"/>
      <c r="E9" s="6">
        <v>200</v>
      </c>
    </row>
    <row r="10" spans="2:9" x14ac:dyDescent="0.25">
      <c r="B10" s="217" t="s">
        <v>2</v>
      </c>
      <c r="C10" s="217"/>
      <c r="D10" s="217"/>
      <c r="E10" s="7">
        <v>11</v>
      </c>
    </row>
    <row r="11" spans="2:9" x14ac:dyDescent="0.25">
      <c r="B11" s="217" t="s">
        <v>3</v>
      </c>
      <c r="C11" s="217"/>
      <c r="D11" s="217"/>
      <c r="E11" s="7">
        <v>20</v>
      </c>
    </row>
    <row r="12" spans="2:9" x14ac:dyDescent="0.25">
      <c r="B12" s="8"/>
      <c r="C12" s="8"/>
      <c r="D12" s="8"/>
      <c r="E12" s="8"/>
    </row>
    <row r="13" spans="2:9" x14ac:dyDescent="0.25">
      <c r="B13" s="232" t="s">
        <v>6</v>
      </c>
      <c r="C13" s="232"/>
      <c r="D13" s="232"/>
      <c r="E13" s="232"/>
    </row>
    <row r="14" spans="2:9" x14ac:dyDescent="0.25">
      <c r="B14" s="236" t="s">
        <v>5</v>
      </c>
      <c r="C14" s="236"/>
      <c r="D14" s="237" t="s">
        <v>180</v>
      </c>
      <c r="E14" s="237"/>
    </row>
    <row r="15" spans="2:9" x14ac:dyDescent="0.25">
      <c r="B15" s="238" t="s">
        <v>190</v>
      </c>
      <c r="C15" s="238"/>
      <c r="D15" s="239">
        <v>45</v>
      </c>
      <c r="E15" s="239"/>
    </row>
    <row r="17" spans="2:9" ht="15.75" customHeight="1" x14ac:dyDescent="0.25">
      <c r="B17" s="227" t="s">
        <v>187</v>
      </c>
      <c r="C17" s="228"/>
      <c r="D17" s="1"/>
      <c r="E17" s="2"/>
    </row>
    <row r="18" spans="2:9" ht="15" customHeight="1" x14ac:dyDescent="0.25">
      <c r="B18" s="233" t="s">
        <v>189</v>
      </c>
      <c r="C18" s="234"/>
      <c r="D18" s="234"/>
      <c r="E18" s="234"/>
      <c r="F18" s="52"/>
      <c r="G18" s="52"/>
      <c r="H18" s="52"/>
      <c r="I18" s="52"/>
    </row>
    <row r="19" spans="2:9" ht="43.5" hidden="1" customHeight="1" x14ac:dyDescent="0.25">
      <c r="B19" s="235"/>
      <c r="C19" s="235"/>
      <c r="D19" s="235"/>
      <c r="E19" s="235"/>
      <c r="F19" s="52"/>
      <c r="G19" s="52"/>
      <c r="H19" s="52"/>
      <c r="I19" s="52"/>
    </row>
    <row r="20" spans="2:9" x14ac:dyDescent="0.25">
      <c r="F20" s="52"/>
      <c r="G20" s="52"/>
      <c r="H20" s="52"/>
      <c r="I20" s="52"/>
    </row>
    <row r="21" spans="2:9" x14ac:dyDescent="0.25">
      <c r="B21" s="240" t="s">
        <v>10</v>
      </c>
      <c r="C21" s="240"/>
      <c r="D21" s="240"/>
      <c r="E21" s="240"/>
      <c r="F21" s="52"/>
      <c r="G21" s="52"/>
      <c r="H21" s="52"/>
      <c r="I21" s="52"/>
    </row>
    <row r="22" spans="2:9" ht="47.25" x14ac:dyDescent="0.25">
      <c r="B22" s="11"/>
      <c r="C22" s="111" t="s">
        <v>186</v>
      </c>
      <c r="D22" s="111" t="s">
        <v>181</v>
      </c>
      <c r="E22" s="28" t="s">
        <v>9</v>
      </c>
    </row>
    <row r="23" spans="2:9" x14ac:dyDescent="0.25">
      <c r="B23" s="7" t="s">
        <v>57</v>
      </c>
      <c r="C23" s="91">
        <v>70</v>
      </c>
      <c r="D23" s="40">
        <v>70</v>
      </c>
      <c r="E23" s="40">
        <v>140</v>
      </c>
    </row>
    <row r="24" spans="2:9" x14ac:dyDescent="0.25">
      <c r="B24" s="12" t="s">
        <v>24</v>
      </c>
      <c r="C24" s="91">
        <f>C23*E11</f>
        <v>1400</v>
      </c>
      <c r="D24" s="40">
        <f>D23*E11</f>
        <v>1400</v>
      </c>
      <c r="E24" s="40">
        <f>C24+D24</f>
        <v>2800</v>
      </c>
    </row>
    <row r="25" spans="2:9" x14ac:dyDescent="0.25">
      <c r="B25" s="12" t="s">
        <v>58</v>
      </c>
      <c r="C25" s="91">
        <f>C23*E9</f>
        <v>14000</v>
      </c>
      <c r="D25" s="40">
        <f>D23*E9</f>
        <v>14000</v>
      </c>
      <c r="E25" s="40">
        <f>C25+D25</f>
        <v>28000</v>
      </c>
    </row>
    <row r="26" spans="2:9" x14ac:dyDescent="0.25">
      <c r="B26" s="9"/>
      <c r="C26" s="9"/>
      <c r="D26" s="10"/>
      <c r="E26" s="10"/>
    </row>
    <row r="27" spans="2:9" x14ac:dyDescent="0.25">
      <c r="B27" s="232" t="s">
        <v>11</v>
      </c>
      <c r="C27" s="232"/>
      <c r="D27" s="232"/>
      <c r="E27" s="232"/>
    </row>
    <row r="28" spans="2:9" x14ac:dyDescent="0.25">
      <c r="B28" s="11" t="s">
        <v>5</v>
      </c>
      <c r="C28" s="11" t="s">
        <v>7</v>
      </c>
      <c r="D28" s="11" t="s">
        <v>8</v>
      </c>
      <c r="E28" s="11" t="s">
        <v>9</v>
      </c>
    </row>
    <row r="29" spans="2:9" x14ac:dyDescent="0.25">
      <c r="B29" s="177" t="s">
        <v>16</v>
      </c>
      <c r="C29" s="178"/>
      <c r="D29" s="178"/>
      <c r="E29" s="178">
        <f>D29-C29</f>
        <v>0</v>
      </c>
    </row>
    <row r="30" spans="2:9" x14ac:dyDescent="0.25">
      <c r="B30" s="177" t="s">
        <v>15</v>
      </c>
      <c r="C30" s="178">
        <v>0.48958333333333331</v>
      </c>
      <c r="D30" s="178">
        <v>0.53125</v>
      </c>
      <c r="E30" s="178">
        <f>D30-C30</f>
        <v>4.1666666666666685E-2</v>
      </c>
    </row>
    <row r="31" spans="2:9" x14ac:dyDescent="0.25">
      <c r="B31" s="179" t="s">
        <v>182</v>
      </c>
      <c r="C31" s="178">
        <v>0.69791666666666663</v>
      </c>
      <c r="D31" s="180">
        <v>0.78125</v>
      </c>
      <c r="E31" s="178">
        <f>D31-C31</f>
        <v>8.333333333333337E-2</v>
      </c>
    </row>
    <row r="32" spans="2:9" x14ac:dyDescent="0.25">
      <c r="B32" s="179" t="s">
        <v>192</v>
      </c>
      <c r="C32" s="178">
        <v>0.95833333333333337</v>
      </c>
      <c r="D32" s="180">
        <v>0.98958333333333337</v>
      </c>
      <c r="E32" s="178">
        <f>D32-C32</f>
        <v>3.125E-2</v>
      </c>
    </row>
    <row r="33" spans="2:9" x14ac:dyDescent="0.25">
      <c r="B33" s="229" t="s">
        <v>9</v>
      </c>
      <c r="C33" s="230"/>
      <c r="D33" s="231"/>
      <c r="E33" s="181">
        <f>SUM(E29:E31)</f>
        <v>0.12500000000000006</v>
      </c>
    </row>
    <row r="35" spans="2:9" x14ac:dyDescent="0.25">
      <c r="B35" s="116" t="s">
        <v>17</v>
      </c>
      <c r="C35" s="117"/>
      <c r="D35" s="117"/>
      <c r="E35" s="117"/>
      <c r="F35" s="117"/>
      <c r="G35" s="117"/>
      <c r="H35" s="117"/>
      <c r="I35" s="117"/>
    </row>
    <row r="36" spans="2:9" x14ac:dyDescent="0.25">
      <c r="B36" s="13"/>
      <c r="C36" s="14" t="s">
        <v>13</v>
      </c>
      <c r="D36" s="14" t="s">
        <v>14</v>
      </c>
      <c r="E36" s="14" t="s">
        <v>9</v>
      </c>
    </row>
    <row r="37" spans="2:9" x14ac:dyDescent="0.25">
      <c r="B37" s="15" t="str">
        <f>B29</f>
        <v>Rota 1</v>
      </c>
      <c r="C37" s="16">
        <f>D29-C29</f>
        <v>0</v>
      </c>
      <c r="D37" s="17">
        <f>(C30-D29)-D107</f>
        <v>0.38541666666666663</v>
      </c>
      <c r="E37" s="16">
        <f>C37+D37</f>
        <v>0.38541666666666663</v>
      </c>
    </row>
    <row r="38" spans="2:9" x14ac:dyDescent="0.25">
      <c r="B38" s="15" t="str">
        <f>B30</f>
        <v>Rota 2</v>
      </c>
      <c r="C38" s="17">
        <f>D30-C30</f>
        <v>4.1666666666666685E-2</v>
      </c>
      <c r="D38" s="16">
        <f>(C31-D30)-D107</f>
        <v>6.2499999999999958E-2</v>
      </c>
      <c r="E38" s="16">
        <f>C38+D38</f>
        <v>0.10416666666666664</v>
      </c>
    </row>
    <row r="39" spans="2:9" x14ac:dyDescent="0.25">
      <c r="B39" s="15" t="s">
        <v>182</v>
      </c>
      <c r="C39" s="17">
        <f>D31-C31</f>
        <v>8.333333333333337E-2</v>
      </c>
      <c r="D39" s="17">
        <v>0</v>
      </c>
      <c r="E39" s="17">
        <f>C39+D39</f>
        <v>8.333333333333337E-2</v>
      </c>
    </row>
    <row r="40" spans="2:9" x14ac:dyDescent="0.25">
      <c r="B40" s="15" t="s">
        <v>9</v>
      </c>
      <c r="C40" s="18">
        <f>SUM(C37:C39)</f>
        <v>0.12500000000000006</v>
      </c>
      <c r="D40" s="175">
        <f>SUM(D37:D39)</f>
        <v>0.44791666666666657</v>
      </c>
      <c r="E40" s="18">
        <f>SUM(E37:E39)</f>
        <v>0.57291666666666663</v>
      </c>
    </row>
    <row r="41" spans="2:9" ht="77.25" customHeight="1" x14ac:dyDescent="0.25">
      <c r="D41" s="5"/>
      <c r="E41" s="19"/>
    </row>
    <row r="42" spans="2:9" x14ac:dyDescent="0.25">
      <c r="B42" s="218" t="s">
        <v>18</v>
      </c>
      <c r="C42" s="219"/>
      <c r="D42" s="219"/>
      <c r="E42" s="219"/>
      <c r="F42" s="219"/>
      <c r="G42" s="219"/>
      <c r="H42" s="112"/>
      <c r="I42" s="112"/>
    </row>
    <row r="43" spans="2:9" x14ac:dyDescent="0.25">
      <c r="B43" s="13"/>
      <c r="C43" s="14" t="s">
        <v>13</v>
      </c>
      <c r="D43" s="14" t="s">
        <v>14</v>
      </c>
      <c r="E43" s="14" t="s">
        <v>9</v>
      </c>
    </row>
    <row r="44" spans="2:9" x14ac:dyDescent="0.25">
      <c r="B44" s="15" t="str">
        <f>B37</f>
        <v>Rota 1</v>
      </c>
      <c r="C44" s="46">
        <f>E29*24</f>
        <v>0</v>
      </c>
      <c r="D44" s="15">
        <f>D37*24</f>
        <v>9.25</v>
      </c>
      <c r="E44" s="46">
        <f>C44+D44</f>
        <v>9.25</v>
      </c>
    </row>
    <row r="45" spans="2:9" x14ac:dyDescent="0.25">
      <c r="B45" s="15" t="str">
        <f>B38</f>
        <v>Rota 2</v>
      </c>
      <c r="C45" s="46">
        <f>E30*24</f>
        <v>1.0000000000000004</v>
      </c>
      <c r="D45" s="46">
        <f>D38*24</f>
        <v>1.4999999999999991</v>
      </c>
      <c r="E45" s="46">
        <f>C45+D45</f>
        <v>2.4999999999999996</v>
      </c>
    </row>
    <row r="46" spans="2:9" x14ac:dyDescent="0.25">
      <c r="B46" s="15" t="s">
        <v>182</v>
      </c>
      <c r="C46" s="46">
        <f>E31*24</f>
        <v>2.0000000000000009</v>
      </c>
      <c r="D46" s="15">
        <f>D39*24</f>
        <v>0</v>
      </c>
      <c r="E46" s="46">
        <f>C46+D46</f>
        <v>2.0000000000000009</v>
      </c>
    </row>
    <row r="47" spans="2:9" x14ac:dyDescent="0.25">
      <c r="B47" s="15"/>
      <c r="C47" s="176">
        <f>SUM(C44:C46)</f>
        <v>3.0000000000000013</v>
      </c>
      <c r="D47" s="176">
        <f>SUM(D44:D46)</f>
        <v>10.75</v>
      </c>
      <c r="E47" s="176">
        <f>SUM(E44:E46)</f>
        <v>13.75</v>
      </c>
    </row>
    <row r="48" spans="2:9" x14ac:dyDescent="0.25">
      <c r="D48" s="5"/>
      <c r="E48" s="5"/>
    </row>
    <row r="49" spans="2:10" x14ac:dyDescent="0.25">
      <c r="B49" s="224" t="s">
        <v>26</v>
      </c>
      <c r="C49" s="224"/>
      <c r="D49" s="224"/>
      <c r="E49" s="224"/>
      <c r="F49" s="224"/>
      <c r="G49" s="224"/>
      <c r="H49" s="224"/>
      <c r="I49" s="224"/>
    </row>
    <row r="50" spans="2:10" x14ac:dyDescent="0.25">
      <c r="B50" s="222" t="s">
        <v>19</v>
      </c>
      <c r="C50" s="14" t="s">
        <v>13</v>
      </c>
      <c r="D50" s="14" t="s">
        <v>14</v>
      </c>
      <c r="E50" s="14"/>
    </row>
    <row r="51" spans="2:10" x14ac:dyDescent="0.25">
      <c r="B51" s="223"/>
      <c r="C51" s="20">
        <f>(C44+C45+C46)*E11</f>
        <v>60.000000000000028</v>
      </c>
      <c r="D51" s="20">
        <f>(D44+D46)*E11</f>
        <v>185</v>
      </c>
      <c r="E51" s="21">
        <f>C51+D51</f>
        <v>245.00000000000003</v>
      </c>
    </row>
    <row r="52" spans="2:10" x14ac:dyDescent="0.25">
      <c r="B52" s="182" t="s">
        <v>173</v>
      </c>
      <c r="C52" s="183"/>
      <c r="D52" s="184"/>
      <c r="E52" s="21">
        <f>((6*5)+(1*4))*5</f>
        <v>170</v>
      </c>
      <c r="F52" s="51"/>
      <c r="I52" s="114"/>
      <c r="J52" s="5"/>
    </row>
    <row r="53" spans="2:10" x14ac:dyDescent="0.25">
      <c r="B53" s="182" t="s">
        <v>174</v>
      </c>
      <c r="C53" s="183"/>
      <c r="D53" s="184"/>
      <c r="E53" s="21">
        <f>((8*5)+(1*4))*5</f>
        <v>220</v>
      </c>
      <c r="F53" s="50"/>
      <c r="I53" s="115"/>
      <c r="J53" s="5"/>
    </row>
    <row r="54" spans="2:10" x14ac:dyDescent="0.25">
      <c r="B54" s="182" t="s">
        <v>21</v>
      </c>
      <c r="C54" s="183"/>
      <c r="D54" s="184"/>
      <c r="E54" s="22">
        <v>1</v>
      </c>
      <c r="F54" s="220"/>
      <c r="G54" s="221"/>
      <c r="H54" s="49"/>
      <c r="I54" s="44"/>
      <c r="J54" s="44"/>
    </row>
    <row r="55" spans="2:10" x14ac:dyDescent="0.25">
      <c r="B55" s="182" t="s">
        <v>25</v>
      </c>
      <c r="C55" s="183"/>
      <c r="D55" s="184"/>
      <c r="E55" s="21">
        <f>(E52*E54)/E53</f>
        <v>0.77272727272727271</v>
      </c>
      <c r="I55" s="5"/>
      <c r="J55" s="5"/>
    </row>
    <row r="56" spans="2:10" x14ac:dyDescent="0.25">
      <c r="B56" s="182" t="s">
        <v>20</v>
      </c>
      <c r="C56" s="183"/>
      <c r="D56" s="184"/>
      <c r="E56" s="21">
        <f>(C51*E54)/E53</f>
        <v>0.27272727272727287</v>
      </c>
      <c r="I56" s="113"/>
      <c r="J56" s="5"/>
    </row>
    <row r="57" spans="2:10" x14ac:dyDescent="0.25">
      <c r="B57" s="182" t="s">
        <v>22</v>
      </c>
      <c r="C57" s="183"/>
      <c r="D57" s="184"/>
      <c r="E57" s="21">
        <f>(D51*E54)/E53</f>
        <v>0.84090909090909094</v>
      </c>
      <c r="I57" s="113"/>
      <c r="J57" s="5"/>
    </row>
    <row r="58" spans="2:10" x14ac:dyDescent="0.25">
      <c r="B58" s="192" t="s">
        <v>23</v>
      </c>
      <c r="C58" s="193"/>
      <c r="D58" s="194"/>
      <c r="E58" s="25">
        <f>SUM(E56:E57)</f>
        <v>1.1136363636363638</v>
      </c>
      <c r="G58" s="26"/>
      <c r="I58" s="113"/>
      <c r="J58" s="5"/>
    </row>
    <row r="59" spans="2:10" x14ac:dyDescent="0.25">
      <c r="B59" s="9"/>
      <c r="C59" s="9"/>
      <c r="D59" s="9"/>
      <c r="E59" s="24"/>
    </row>
    <row r="60" spans="2:10" x14ac:dyDescent="0.25">
      <c r="B60" s="44" t="s">
        <v>45</v>
      </c>
      <c r="C60" s="44"/>
      <c r="D60" s="44"/>
      <c r="E60" s="44"/>
      <c r="F60" s="44"/>
      <c r="G60" s="44"/>
      <c r="H60" s="44"/>
      <c r="I60" s="44"/>
    </row>
    <row r="61" spans="2:10" x14ac:dyDescent="0.25">
      <c r="B61" s="213" t="s">
        <v>27</v>
      </c>
      <c r="C61" s="214"/>
      <c r="D61" s="214"/>
      <c r="E61" s="215"/>
    </row>
    <row r="62" spans="2:10" x14ac:dyDescent="0.25">
      <c r="B62" s="182" t="s">
        <v>28</v>
      </c>
      <c r="C62" s="183"/>
      <c r="D62" s="184"/>
      <c r="E62" s="22" t="s">
        <v>29</v>
      </c>
    </row>
    <row r="63" spans="2:10" x14ac:dyDescent="0.25">
      <c r="B63" s="182" t="s">
        <v>30</v>
      </c>
      <c r="C63" s="183"/>
      <c r="D63" s="184"/>
      <c r="E63" s="22">
        <f>D15</f>
        <v>45</v>
      </c>
    </row>
    <row r="64" spans="2:10" x14ac:dyDescent="0.25">
      <c r="B64" s="182" t="s">
        <v>31</v>
      </c>
      <c r="C64" s="183"/>
      <c r="D64" s="184"/>
      <c r="E64" s="22" t="s">
        <v>32</v>
      </c>
    </row>
    <row r="65" spans="2:9" x14ac:dyDescent="0.25">
      <c r="B65" s="182" t="s">
        <v>33</v>
      </c>
      <c r="C65" s="183"/>
      <c r="D65" s="184"/>
      <c r="E65" s="22">
        <v>2023</v>
      </c>
    </row>
    <row r="66" spans="2:9" x14ac:dyDescent="0.25">
      <c r="B66" s="29" t="s">
        <v>34</v>
      </c>
      <c r="C66" s="30"/>
      <c r="D66" s="31"/>
      <c r="E66" s="22">
        <v>3</v>
      </c>
    </row>
    <row r="67" spans="2:9" x14ac:dyDescent="0.25">
      <c r="B67" s="9"/>
      <c r="C67" s="9"/>
      <c r="D67" s="9"/>
      <c r="E67" s="24"/>
    </row>
    <row r="68" spans="2:9" x14ac:dyDescent="0.25">
      <c r="B68" s="192" t="s">
        <v>44</v>
      </c>
      <c r="C68" s="193"/>
      <c r="D68" s="193"/>
      <c r="E68" s="194"/>
    </row>
    <row r="69" spans="2:9" x14ac:dyDescent="0.25">
      <c r="B69" s="12" t="s">
        <v>37</v>
      </c>
      <c r="C69" s="32"/>
      <c r="D69" s="33">
        <v>1</v>
      </c>
      <c r="E69" s="34">
        <v>615000</v>
      </c>
    </row>
    <row r="70" spans="2:9" x14ac:dyDescent="0.25">
      <c r="B70" s="182" t="s">
        <v>38</v>
      </c>
      <c r="C70" s="183"/>
      <c r="D70" s="33">
        <v>1</v>
      </c>
      <c r="E70" s="21">
        <v>80</v>
      </c>
    </row>
    <row r="71" spans="2:9" x14ac:dyDescent="0.25">
      <c r="B71" s="182" t="s">
        <v>39</v>
      </c>
      <c r="C71" s="183"/>
      <c r="D71" s="33">
        <v>1</v>
      </c>
      <c r="E71" s="21" t="s">
        <v>46</v>
      </c>
    </row>
    <row r="72" spans="2:9" x14ac:dyDescent="0.25">
      <c r="B72" s="182" t="s">
        <v>40</v>
      </c>
      <c r="C72" s="183"/>
      <c r="D72" s="33">
        <v>1</v>
      </c>
      <c r="E72" s="21">
        <v>157.41999999999999</v>
      </c>
    </row>
    <row r="73" spans="2:9" x14ac:dyDescent="0.25">
      <c r="B73" s="198" t="s">
        <v>41</v>
      </c>
      <c r="C73" s="198"/>
      <c r="D73" s="33">
        <v>2</v>
      </c>
      <c r="E73" s="22">
        <v>220</v>
      </c>
    </row>
    <row r="74" spans="2:9" x14ac:dyDescent="0.25">
      <c r="B74" s="210" t="s">
        <v>42</v>
      </c>
      <c r="C74" s="211"/>
      <c r="D74" s="33">
        <v>1</v>
      </c>
      <c r="E74" s="21">
        <v>640</v>
      </c>
    </row>
    <row r="75" spans="2:9" x14ac:dyDescent="0.25">
      <c r="B75" s="195" t="s">
        <v>31</v>
      </c>
      <c r="C75" s="196"/>
      <c r="D75" s="33">
        <v>1</v>
      </c>
      <c r="E75" s="27">
        <v>6.22</v>
      </c>
    </row>
    <row r="76" spans="2:9" x14ac:dyDescent="0.25">
      <c r="B76" s="212" t="s">
        <v>165</v>
      </c>
      <c r="C76" s="212"/>
      <c r="D76" s="42">
        <v>0.15</v>
      </c>
      <c r="E76" s="34">
        <f>((E69-E79)*D76)/12</f>
        <v>6150</v>
      </c>
      <c r="I76" s="49"/>
    </row>
    <row r="77" spans="2:9" x14ac:dyDescent="0.25">
      <c r="B77" s="212" t="s">
        <v>166</v>
      </c>
      <c r="C77" s="212"/>
      <c r="D77" s="42">
        <v>0.1</v>
      </c>
      <c r="E77" s="34">
        <f>(((E69-E79)-E76)*D77)/12</f>
        <v>4048.75</v>
      </c>
      <c r="I77" s="49"/>
    </row>
    <row r="78" spans="2:9" x14ac:dyDescent="0.25">
      <c r="B78" s="195" t="s">
        <v>47</v>
      </c>
      <c r="C78" s="196"/>
      <c r="D78" s="42" t="s">
        <v>48</v>
      </c>
      <c r="E78" s="34">
        <v>20</v>
      </c>
    </row>
    <row r="79" spans="2:9" x14ac:dyDescent="0.25">
      <c r="B79" s="212" t="s">
        <v>43</v>
      </c>
      <c r="C79" s="212"/>
      <c r="D79" s="42">
        <v>0.2</v>
      </c>
      <c r="E79" s="34">
        <f>E69*D79</f>
        <v>123000</v>
      </c>
    </row>
    <row r="80" spans="2:9" x14ac:dyDescent="0.25">
      <c r="B80" s="29" t="s">
        <v>73</v>
      </c>
      <c r="C80" s="30"/>
      <c r="D80" s="33" t="s">
        <v>71</v>
      </c>
      <c r="E80" s="35">
        <v>0</v>
      </c>
    </row>
    <row r="81" spans="2:5" x14ac:dyDescent="0.25">
      <c r="B81" s="9"/>
      <c r="C81" s="9"/>
      <c r="D81" s="9"/>
      <c r="E81" s="57"/>
    </row>
    <row r="82" spans="2:5" x14ac:dyDescent="0.25">
      <c r="B82" s="197" t="s">
        <v>35</v>
      </c>
      <c r="C82" s="197"/>
      <c r="D82" s="197"/>
      <c r="E82" s="197"/>
    </row>
    <row r="83" spans="2:5" x14ac:dyDescent="0.25">
      <c r="B83" s="189" t="s">
        <v>36</v>
      </c>
      <c r="C83" s="190"/>
      <c r="D83" s="190"/>
      <c r="E83" s="191"/>
    </row>
    <row r="84" spans="2:5" x14ac:dyDescent="0.25">
      <c r="B84" s="207" t="s">
        <v>50</v>
      </c>
      <c r="C84" s="208"/>
      <c r="D84" s="209"/>
      <c r="E84" s="41">
        <v>0.1</v>
      </c>
    </row>
    <row r="85" spans="2:5" ht="12" customHeight="1" x14ac:dyDescent="0.25">
      <c r="D85" s="5"/>
      <c r="E85" s="19"/>
    </row>
    <row r="86" spans="2:5" x14ac:dyDescent="0.25">
      <c r="B86" s="197" t="s">
        <v>49</v>
      </c>
      <c r="C86" s="197"/>
      <c r="D86" s="197"/>
      <c r="E86" s="197"/>
    </row>
    <row r="87" spans="2:5" x14ac:dyDescent="0.25">
      <c r="B87" s="189" t="s">
        <v>36</v>
      </c>
      <c r="C87" s="190"/>
      <c r="D87" s="190"/>
      <c r="E87" s="191"/>
    </row>
    <row r="88" spans="2:5" x14ac:dyDescent="0.25">
      <c r="B88" s="207" t="s">
        <v>50</v>
      </c>
      <c r="C88" s="208"/>
      <c r="D88" s="209"/>
      <c r="E88" s="41">
        <v>0.1</v>
      </c>
    </row>
    <row r="89" spans="2:5" ht="15.75" customHeight="1" x14ac:dyDescent="0.25">
      <c r="B89" s="37"/>
      <c r="C89" s="37"/>
      <c r="D89" s="37"/>
      <c r="E89" s="38"/>
    </row>
    <row r="90" spans="2:5" x14ac:dyDescent="0.25">
      <c r="B90" s="197" t="s">
        <v>53</v>
      </c>
      <c r="C90" s="197"/>
      <c r="D90" s="197"/>
      <c r="E90" s="197"/>
    </row>
    <row r="91" spans="2:5" x14ac:dyDescent="0.25">
      <c r="B91" s="58" t="s">
        <v>28</v>
      </c>
      <c r="C91" s="11" t="s">
        <v>54</v>
      </c>
      <c r="D91" s="11" t="s">
        <v>51</v>
      </c>
      <c r="E91" s="11" t="s">
        <v>52</v>
      </c>
    </row>
    <row r="92" spans="2:5" x14ac:dyDescent="0.25">
      <c r="B92" s="15" t="s">
        <v>55</v>
      </c>
      <c r="C92" s="36">
        <v>4</v>
      </c>
      <c r="D92" s="59">
        <v>40000</v>
      </c>
      <c r="E92" s="43">
        <v>9144.8799999999992</v>
      </c>
    </row>
    <row r="93" spans="2:5" x14ac:dyDescent="0.25">
      <c r="B93" s="15" t="s">
        <v>56</v>
      </c>
      <c r="C93" s="36">
        <v>2</v>
      </c>
      <c r="D93" s="59">
        <v>20000</v>
      </c>
      <c r="E93" s="43">
        <v>2000</v>
      </c>
    </row>
    <row r="94" spans="2:5" x14ac:dyDescent="0.25">
      <c r="D94" s="5"/>
      <c r="E94" s="19"/>
    </row>
    <row r="95" spans="2:5" x14ac:dyDescent="0.25">
      <c r="D95" s="5"/>
      <c r="E95" s="19"/>
    </row>
    <row r="96" spans="2:5" s="44" customFormat="1" x14ac:dyDescent="0.25">
      <c r="B96" s="197" t="s">
        <v>59</v>
      </c>
      <c r="C96" s="197"/>
      <c r="D96" s="197"/>
      <c r="E96" s="197"/>
    </row>
    <row r="97" spans="2:5" x14ac:dyDescent="0.25">
      <c r="B97" s="201" t="s">
        <v>60</v>
      </c>
      <c r="C97" s="201"/>
      <c r="D97" s="202" t="s">
        <v>191</v>
      </c>
      <c r="E97" s="203"/>
    </row>
    <row r="98" spans="2:5" x14ac:dyDescent="0.25">
      <c r="B98" s="60" t="s">
        <v>61</v>
      </c>
      <c r="C98" s="60"/>
      <c r="D98" s="204" t="s">
        <v>62</v>
      </c>
      <c r="E98" s="205"/>
    </row>
    <row r="99" spans="2:5" x14ac:dyDescent="0.25">
      <c r="B99" s="206" t="s">
        <v>63</v>
      </c>
      <c r="C99" s="206"/>
      <c r="D99" s="5"/>
      <c r="E99" s="19"/>
    </row>
    <row r="100" spans="2:5" x14ac:dyDescent="0.25">
      <c r="B100" s="207" t="s">
        <v>64</v>
      </c>
      <c r="C100" s="208"/>
      <c r="D100" s="209"/>
      <c r="E100" s="39">
        <v>3263.97</v>
      </c>
    </row>
    <row r="101" spans="2:5" x14ac:dyDescent="0.25">
      <c r="B101" s="45"/>
      <c r="C101" s="45"/>
      <c r="D101" s="36" t="s">
        <v>52</v>
      </c>
      <c r="E101" s="40" t="s">
        <v>67</v>
      </c>
    </row>
    <row r="102" spans="2:5" x14ac:dyDescent="0.25">
      <c r="B102" s="200" t="s">
        <v>66</v>
      </c>
      <c r="C102" s="200"/>
      <c r="D102" s="46">
        <v>27.68</v>
      </c>
      <c r="E102" s="48">
        <v>0.05</v>
      </c>
    </row>
    <row r="103" spans="2:5" x14ac:dyDescent="0.25">
      <c r="B103" s="200" t="s">
        <v>65</v>
      </c>
      <c r="C103" s="200"/>
      <c r="D103" s="15">
        <v>0</v>
      </c>
      <c r="E103" s="48">
        <v>0.06</v>
      </c>
    </row>
    <row r="104" spans="2:5" x14ac:dyDescent="0.25">
      <c r="B104" s="200" t="s">
        <v>68</v>
      </c>
      <c r="C104" s="200"/>
      <c r="D104" s="15">
        <v>128.68</v>
      </c>
      <c r="E104" s="48">
        <v>0.2</v>
      </c>
    </row>
    <row r="105" spans="2:5" x14ac:dyDescent="0.25">
      <c r="B105" s="200" t="s">
        <v>69</v>
      </c>
      <c r="C105" s="200"/>
      <c r="D105" s="46">
        <v>0</v>
      </c>
      <c r="E105" s="18"/>
    </row>
    <row r="106" spans="2:5" x14ac:dyDescent="0.25">
      <c r="B106" s="200" t="s">
        <v>70</v>
      </c>
      <c r="C106" s="200"/>
      <c r="D106" s="47">
        <v>0</v>
      </c>
      <c r="E106" s="18"/>
    </row>
    <row r="107" spans="2:5" x14ac:dyDescent="0.25">
      <c r="B107" s="37" t="s">
        <v>183</v>
      </c>
      <c r="C107" s="37"/>
      <c r="D107" s="174">
        <v>0.10416666666666667</v>
      </c>
      <c r="E107" s="19"/>
    </row>
    <row r="108" spans="2:5" x14ac:dyDescent="0.25">
      <c r="B108" s="10"/>
      <c r="C108" s="10"/>
      <c r="D108" s="5"/>
      <c r="E108" s="19"/>
    </row>
    <row r="109" spans="2:5" x14ac:dyDescent="0.25">
      <c r="B109" s="188" t="s">
        <v>72</v>
      </c>
      <c r="C109" s="188"/>
      <c r="D109" s="188"/>
      <c r="E109" s="188"/>
    </row>
    <row r="110" spans="2:5" x14ac:dyDescent="0.25">
      <c r="B110" s="185"/>
      <c r="C110" s="186"/>
      <c r="D110" s="187"/>
      <c r="E110" s="11" t="s">
        <v>75</v>
      </c>
    </row>
    <row r="111" spans="2:5" x14ac:dyDescent="0.25">
      <c r="B111" s="182" t="s">
        <v>185</v>
      </c>
      <c r="C111" s="183"/>
      <c r="D111" s="184"/>
      <c r="E111" s="61">
        <v>0.05</v>
      </c>
    </row>
    <row r="112" spans="2:5" x14ac:dyDescent="0.25">
      <c r="B112" s="8"/>
      <c r="C112" s="8"/>
      <c r="D112" s="8"/>
      <c r="E112" s="8"/>
    </row>
    <row r="113" spans="2:5" x14ac:dyDescent="0.25">
      <c r="B113" s="62" t="s">
        <v>74</v>
      </c>
      <c r="C113" s="8"/>
      <c r="D113" s="8"/>
      <c r="E113" s="8"/>
    </row>
    <row r="114" spans="2:5" x14ac:dyDescent="0.25">
      <c r="B114" s="182" t="s">
        <v>76</v>
      </c>
      <c r="C114" s="183"/>
      <c r="D114" s="184"/>
      <c r="E114" s="63">
        <v>0.15</v>
      </c>
    </row>
    <row r="115" spans="2:5" x14ac:dyDescent="0.25">
      <c r="B115" s="9"/>
      <c r="C115" s="87"/>
      <c r="D115" s="87"/>
      <c r="E115" s="88"/>
    </row>
    <row r="116" spans="2:5" x14ac:dyDescent="0.25">
      <c r="B116" s="87" t="s">
        <v>164</v>
      </c>
      <c r="C116" s="87"/>
      <c r="D116" s="87"/>
      <c r="E116" s="88"/>
    </row>
    <row r="117" spans="2:5" x14ac:dyDescent="0.25">
      <c r="B117" s="81"/>
      <c r="C117" s="81" t="s">
        <v>162</v>
      </c>
      <c r="D117" s="81" t="s">
        <v>163</v>
      </c>
      <c r="E117" s="81" t="s">
        <v>136</v>
      </c>
    </row>
    <row r="118" spans="2:5" x14ac:dyDescent="0.25">
      <c r="B118" s="54" t="s">
        <v>157</v>
      </c>
      <c r="C118" s="82">
        <v>7.5999999999999998E-2</v>
      </c>
      <c r="D118" s="83">
        <v>0.03</v>
      </c>
      <c r="E118" s="83">
        <v>2.4199999999999999E-2</v>
      </c>
    </row>
    <row r="119" spans="2:5" x14ac:dyDescent="0.25">
      <c r="B119" s="54" t="s">
        <v>158</v>
      </c>
      <c r="C119" s="82">
        <v>1.6500000000000001E-2</v>
      </c>
      <c r="D119" s="83">
        <v>6.4999999999999997E-3</v>
      </c>
      <c r="E119" s="83">
        <v>5.7000000000000002E-3</v>
      </c>
    </row>
    <row r="120" spans="2:5" x14ac:dyDescent="0.25">
      <c r="B120" s="54" t="s">
        <v>159</v>
      </c>
      <c r="C120" s="82">
        <v>0.05</v>
      </c>
      <c r="D120" s="83">
        <v>0.05</v>
      </c>
      <c r="E120" s="84">
        <v>0.05</v>
      </c>
    </row>
    <row r="121" spans="2:5" x14ac:dyDescent="0.25">
      <c r="B121" s="54"/>
      <c r="C121" s="85">
        <f>SUM(C118:C120)</f>
        <v>0.14250000000000002</v>
      </c>
      <c r="D121" s="86">
        <f>SUM(D118:D120)</f>
        <v>8.6499999999999994E-2</v>
      </c>
      <c r="E121" s="86">
        <f>SUM(E118:E120)</f>
        <v>7.9899999999999999E-2</v>
      </c>
    </row>
  </sheetData>
  <sheetProtection formatCells="0" formatColumns="0" formatRows="0" insertColumns="0" insertRows="0" insertHyperlinks="0" deleteColumns="0" deleteRows="0" sort="0" autoFilter="0" pivotTables="0"/>
  <protectedRanges>
    <protectedRange algorithmName="SHA-512" hashValue="TgU06BpQN5fn8AzayO0oj5lLCucK+4BKe930SkQdvy9JFaUmLF6V6H1vRl+2WtTtsco9Mfs4dn4L+U3NFT0jBw==" saltValue="7PcMe8o/UKGK/onVAkUVEw==" spinCount="100000" sqref="E66" name="Intervalo1"/>
  </protectedRanges>
  <mergeCells count="65">
    <mergeCell ref="B3:H3"/>
    <mergeCell ref="B11:D11"/>
    <mergeCell ref="B17:C17"/>
    <mergeCell ref="B10:D10"/>
    <mergeCell ref="B33:D33"/>
    <mergeCell ref="B13:E13"/>
    <mergeCell ref="B27:E27"/>
    <mergeCell ref="B18:E19"/>
    <mergeCell ref="B14:C14"/>
    <mergeCell ref="D14:E14"/>
    <mergeCell ref="B15:C15"/>
    <mergeCell ref="D15:E15"/>
    <mergeCell ref="B21:E21"/>
    <mergeCell ref="B61:E61"/>
    <mergeCell ref="B62:D62"/>
    <mergeCell ref="B63:D63"/>
    <mergeCell ref="B8:E8"/>
    <mergeCell ref="B9:D9"/>
    <mergeCell ref="B42:G42"/>
    <mergeCell ref="F54:G54"/>
    <mergeCell ref="B50:B51"/>
    <mergeCell ref="B52:D52"/>
    <mergeCell ref="B56:D56"/>
    <mergeCell ref="B55:D55"/>
    <mergeCell ref="B58:D58"/>
    <mergeCell ref="B57:D57"/>
    <mergeCell ref="B54:D54"/>
    <mergeCell ref="B49:I49"/>
    <mergeCell ref="B74:C74"/>
    <mergeCell ref="B75:C75"/>
    <mergeCell ref="B76:C76"/>
    <mergeCell ref="B77:C77"/>
    <mergeCell ref="B79:C79"/>
    <mergeCell ref="B2:H2"/>
    <mergeCell ref="B106:C106"/>
    <mergeCell ref="B90:E90"/>
    <mergeCell ref="B96:E96"/>
    <mergeCell ref="B97:C97"/>
    <mergeCell ref="D97:E97"/>
    <mergeCell ref="D98:E98"/>
    <mergeCell ref="B103:C103"/>
    <mergeCell ref="B104:C104"/>
    <mergeCell ref="B105:C105"/>
    <mergeCell ref="B99:C99"/>
    <mergeCell ref="B102:C102"/>
    <mergeCell ref="B100:D100"/>
    <mergeCell ref="B86:E86"/>
    <mergeCell ref="B84:D84"/>
    <mergeCell ref="B88:D88"/>
    <mergeCell ref="B114:D114"/>
    <mergeCell ref="B111:D111"/>
    <mergeCell ref="B110:D110"/>
    <mergeCell ref="B109:E109"/>
    <mergeCell ref="B53:D53"/>
    <mergeCell ref="B87:E87"/>
    <mergeCell ref="B83:E83"/>
    <mergeCell ref="B64:D64"/>
    <mergeCell ref="B65:D65"/>
    <mergeCell ref="B70:C70"/>
    <mergeCell ref="B71:C71"/>
    <mergeCell ref="B72:C72"/>
    <mergeCell ref="B68:E68"/>
    <mergeCell ref="B78:C78"/>
    <mergeCell ref="B82:E82"/>
    <mergeCell ref="B73:C73"/>
  </mergeCells>
  <phoneticPr fontId="14" type="noConversion"/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X68"/>
  <sheetViews>
    <sheetView view="pageBreakPreview" zoomScaleNormal="100" zoomScaleSheetLayoutView="100" workbookViewId="0">
      <selection activeCell="M7" sqref="M7"/>
    </sheetView>
  </sheetViews>
  <sheetFormatPr defaultRowHeight="15.75" x14ac:dyDescent="0.25"/>
  <cols>
    <col min="1" max="3" width="9.140625" style="4"/>
    <col min="4" max="4" width="14.140625" style="4" customWidth="1"/>
    <col min="5" max="5" width="9.140625" style="4"/>
    <col min="6" max="6" width="6" style="4" customWidth="1"/>
    <col min="7" max="7" width="18.28515625" style="4" customWidth="1"/>
    <col min="8" max="9" width="9.28515625" style="4" bestFit="1" customWidth="1"/>
    <col min="10" max="10" width="30.7109375" style="4" customWidth="1"/>
    <col min="11" max="12" width="9.140625" style="4"/>
    <col min="13" max="13" width="30.140625" style="4" customWidth="1"/>
    <col min="14" max="15" width="9.28515625" style="4" bestFit="1" customWidth="1"/>
    <col min="16" max="16" width="9.85546875" style="4" customWidth="1"/>
    <col min="17" max="17" width="9.5703125" style="4" bestFit="1" customWidth="1"/>
    <col min="18" max="18" width="9.28515625" style="4" bestFit="1" customWidth="1"/>
    <col min="19" max="19" width="10.7109375" style="4" customWidth="1"/>
    <col min="20" max="20" width="9.28515625" style="4" bestFit="1" customWidth="1"/>
    <col min="21" max="21" width="8.42578125" style="4" customWidth="1"/>
    <col min="22" max="22" width="11.85546875" style="4" customWidth="1"/>
    <col min="23" max="16384" width="9.140625" style="4"/>
  </cols>
  <sheetData>
    <row r="2" spans="2:24" x14ac:dyDescent="0.25">
      <c r="B2"/>
      <c r="C2"/>
      <c r="D2" s="241" t="s">
        <v>169</v>
      </c>
      <c r="E2" s="241"/>
      <c r="F2" s="241"/>
      <c r="G2" s="241"/>
      <c r="H2"/>
      <c r="I2"/>
      <c r="J2" t="s">
        <v>136</v>
      </c>
      <c r="K2"/>
      <c r="L2"/>
      <c r="M2"/>
      <c r="N2"/>
      <c r="O2"/>
      <c r="P2"/>
      <c r="Q2"/>
      <c r="R2"/>
      <c r="S2"/>
      <c r="T2"/>
      <c r="U2"/>
      <c r="V2"/>
      <c r="W2"/>
      <c r="X2"/>
    </row>
    <row r="3" spans="2:24" x14ac:dyDescent="0.25">
      <c r="B3" s="268" t="s">
        <v>77</v>
      </c>
      <c r="C3" s="268"/>
      <c r="D3" s="268"/>
      <c r="E3" s="268"/>
      <c r="F3" s="268"/>
      <c r="G3" s="120" t="s">
        <v>78</v>
      </c>
      <c r="H3"/>
      <c r="I3"/>
      <c r="J3" s="120" t="s">
        <v>78</v>
      </c>
      <c r="K3"/>
      <c r="L3"/>
      <c r="M3" s="121"/>
      <c r="N3"/>
      <c r="O3"/>
      <c r="P3"/>
      <c r="Q3"/>
      <c r="R3"/>
      <c r="S3"/>
      <c r="T3"/>
      <c r="U3"/>
      <c r="V3"/>
      <c r="W3"/>
      <c r="X3"/>
    </row>
    <row r="4" spans="2:24" x14ac:dyDescent="0.25">
      <c r="B4" s="317" t="s">
        <v>64</v>
      </c>
      <c r="C4" s="318"/>
      <c r="D4" s="318"/>
      <c r="E4" s="319"/>
      <c r="F4" s="122"/>
      <c r="G4" s="54">
        <v>3263.97</v>
      </c>
      <c r="H4"/>
      <c r="I4"/>
      <c r="J4" s="54">
        <f>G4</f>
        <v>3263.97</v>
      </c>
      <c r="K4"/>
      <c r="L4"/>
      <c r="M4"/>
      <c r="N4"/>
      <c r="O4"/>
      <c r="P4"/>
      <c r="Q4"/>
      <c r="R4"/>
      <c r="S4"/>
      <c r="T4"/>
      <c r="U4"/>
      <c r="V4"/>
      <c r="W4"/>
      <c r="X4"/>
    </row>
    <row r="5" spans="2:24" x14ac:dyDescent="0.25">
      <c r="B5" s="314"/>
      <c r="C5" s="315"/>
      <c r="D5" s="315"/>
      <c r="E5" s="316"/>
      <c r="F5" s="122"/>
      <c r="G5" s="122"/>
      <c r="H5"/>
      <c r="I5"/>
      <c r="J5" s="122"/>
      <c r="K5"/>
      <c r="L5"/>
      <c r="M5"/>
      <c r="N5"/>
      <c r="O5"/>
      <c r="P5"/>
      <c r="Q5"/>
      <c r="R5"/>
      <c r="S5"/>
      <c r="T5"/>
      <c r="U5"/>
      <c r="V5"/>
      <c r="W5"/>
      <c r="X5"/>
    </row>
    <row r="6" spans="2:24" x14ac:dyDescent="0.25">
      <c r="B6" s="320" t="s">
        <v>79</v>
      </c>
      <c r="C6" s="321"/>
      <c r="D6" s="321"/>
      <c r="E6" s="322"/>
      <c r="F6" s="122"/>
      <c r="G6" s="55">
        <f>SUM(G4:G5)</f>
        <v>3263.97</v>
      </c>
      <c r="H6"/>
      <c r="I6"/>
      <c r="J6" s="55">
        <f>SUM(J4:J5)</f>
        <v>3263.97</v>
      </c>
      <c r="K6"/>
      <c r="L6"/>
      <c r="M6" s="123"/>
      <c r="N6"/>
      <c r="O6"/>
      <c r="P6"/>
      <c r="Q6"/>
      <c r="R6"/>
      <c r="S6"/>
      <c r="T6"/>
      <c r="U6"/>
      <c r="V6"/>
      <c r="W6"/>
      <c r="X6"/>
    </row>
    <row r="7" spans="2:24" x14ac:dyDescent="0.25"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</row>
    <row r="8" spans="2:24" x14ac:dyDescent="0.25">
      <c r="B8" s="268" t="s">
        <v>80</v>
      </c>
      <c r="C8" s="268"/>
      <c r="D8" s="268"/>
      <c r="E8" s="268"/>
      <c r="F8" s="268"/>
      <c r="G8" s="120" t="s">
        <v>78</v>
      </c>
      <c r="H8"/>
      <c r="I8"/>
      <c r="J8" s="120" t="s">
        <v>78</v>
      </c>
      <c r="K8"/>
      <c r="L8"/>
      <c r="M8" s="121"/>
      <c r="N8"/>
      <c r="O8"/>
      <c r="P8"/>
      <c r="Q8"/>
      <c r="R8"/>
      <c r="S8"/>
      <c r="T8"/>
      <c r="U8"/>
      <c r="V8"/>
      <c r="W8"/>
      <c r="X8"/>
    </row>
    <row r="9" spans="2:24" x14ac:dyDescent="0.25">
      <c r="B9" s="313" t="s">
        <v>81</v>
      </c>
      <c r="C9" s="313"/>
      <c r="D9" s="313"/>
      <c r="E9" s="313"/>
      <c r="F9" s="66"/>
      <c r="G9" s="67">
        <v>0</v>
      </c>
      <c r="H9"/>
      <c r="I9"/>
      <c r="J9" s="67">
        <f>G9</f>
        <v>0</v>
      </c>
      <c r="K9"/>
      <c r="L9"/>
      <c r="M9" s="124"/>
      <c r="N9"/>
      <c r="O9"/>
      <c r="P9"/>
      <c r="Q9"/>
      <c r="R9"/>
      <c r="S9"/>
      <c r="T9"/>
      <c r="U9"/>
      <c r="V9"/>
      <c r="W9"/>
      <c r="X9"/>
    </row>
    <row r="10" spans="2:24" x14ac:dyDescent="0.25">
      <c r="B10" s="66" t="s">
        <v>184</v>
      </c>
      <c r="C10" s="66"/>
      <c r="D10" s="66"/>
      <c r="E10" s="66"/>
      <c r="F10" s="66"/>
      <c r="G10" s="67">
        <v>337.06</v>
      </c>
      <c r="H10"/>
      <c r="I10"/>
      <c r="J10" s="67">
        <f>G10</f>
        <v>337.06</v>
      </c>
      <c r="K10"/>
      <c r="L10"/>
      <c r="M10" s="123"/>
      <c r="N10"/>
      <c r="O10"/>
      <c r="P10"/>
      <c r="Q10"/>
      <c r="R10"/>
      <c r="S10"/>
      <c r="T10"/>
      <c r="U10"/>
      <c r="V10"/>
      <c r="W10"/>
      <c r="X10"/>
    </row>
    <row r="11" spans="2:24" x14ac:dyDescent="0.25">
      <c r="B11" s="313" t="s">
        <v>82</v>
      </c>
      <c r="C11" s="313"/>
      <c r="D11" s="313"/>
      <c r="E11" s="313"/>
      <c r="F11" s="66"/>
      <c r="G11" s="67">
        <f>(Dados!D104-(Dados!D104*20%))</f>
        <v>102.944</v>
      </c>
      <c r="H11"/>
      <c r="I11"/>
      <c r="J11" s="67">
        <f>G11</f>
        <v>102.944</v>
      </c>
      <c r="K11"/>
      <c r="L11"/>
      <c r="M11" s="123"/>
      <c r="N11"/>
      <c r="O11"/>
      <c r="P11"/>
      <c r="Q11"/>
      <c r="R11"/>
      <c r="S11"/>
      <c r="T11"/>
      <c r="U11"/>
      <c r="V11"/>
      <c r="W11"/>
      <c r="X11"/>
    </row>
    <row r="12" spans="2:24" x14ac:dyDescent="0.25">
      <c r="B12" s="313" t="s">
        <v>83</v>
      </c>
      <c r="C12" s="313"/>
      <c r="D12" s="313"/>
      <c r="E12" s="313"/>
      <c r="F12" s="66"/>
      <c r="G12" s="67">
        <v>0</v>
      </c>
      <c r="H12"/>
      <c r="I12"/>
      <c r="J12" s="67">
        <f>G12</f>
        <v>0</v>
      </c>
      <c r="K12"/>
      <c r="L12"/>
      <c r="M12"/>
      <c r="N12"/>
      <c r="O12"/>
      <c r="P12"/>
      <c r="Q12"/>
      <c r="R12"/>
      <c r="S12"/>
      <c r="T12"/>
      <c r="U12"/>
      <c r="V12"/>
      <c r="W12"/>
      <c r="X12"/>
    </row>
    <row r="13" spans="2:24" x14ac:dyDescent="0.25">
      <c r="B13" s="313" t="s">
        <v>84</v>
      </c>
      <c r="C13" s="313"/>
      <c r="D13" s="313"/>
      <c r="E13" s="313"/>
      <c r="F13" s="66"/>
      <c r="G13" s="67">
        <f>Dados!D105</f>
        <v>0</v>
      </c>
      <c r="H13"/>
      <c r="I13"/>
      <c r="J13" s="67">
        <f>G13</f>
        <v>0</v>
      </c>
      <c r="K13"/>
      <c r="L13"/>
      <c r="M13"/>
      <c r="N13"/>
      <c r="O13"/>
      <c r="P13"/>
      <c r="Q13"/>
      <c r="R13"/>
      <c r="S13"/>
      <c r="T13"/>
      <c r="U13"/>
      <c r="V13"/>
      <c r="W13"/>
      <c r="X13"/>
    </row>
    <row r="14" spans="2:24" x14ac:dyDescent="0.25">
      <c r="B14" s="313" t="s">
        <v>85</v>
      </c>
      <c r="C14" s="313"/>
      <c r="D14" s="313"/>
      <c r="E14" s="313"/>
      <c r="F14" s="66"/>
      <c r="G14" s="67"/>
      <c r="H14"/>
      <c r="I14"/>
      <c r="J14" s="67"/>
      <c r="K14"/>
      <c r="L14"/>
      <c r="M14"/>
      <c r="N14"/>
      <c r="O14"/>
      <c r="P14"/>
      <c r="Q14"/>
      <c r="R14"/>
      <c r="S14"/>
      <c r="T14"/>
      <c r="U14"/>
      <c r="V14"/>
      <c r="W14"/>
      <c r="X14"/>
    </row>
    <row r="15" spans="2:24" x14ac:dyDescent="0.25">
      <c r="B15" s="125" t="s">
        <v>86</v>
      </c>
      <c r="C15" s="125"/>
      <c r="D15" s="125"/>
      <c r="E15" s="125"/>
      <c r="F15" s="125"/>
      <c r="G15" s="126">
        <f>SUM(G9:G14)</f>
        <v>440.00400000000002</v>
      </c>
      <c r="H15"/>
      <c r="I15"/>
      <c r="J15" s="126">
        <f>SUM(J9:J14)</f>
        <v>440.00400000000002</v>
      </c>
      <c r="K15"/>
      <c r="L15"/>
      <c r="M15"/>
      <c r="N15"/>
      <c r="O15"/>
      <c r="P15"/>
      <c r="Q15"/>
      <c r="R15"/>
      <c r="S15"/>
      <c r="T15"/>
      <c r="U15"/>
      <c r="V15"/>
      <c r="W15"/>
      <c r="X15"/>
    </row>
    <row r="16" spans="2:24" x14ac:dyDescent="0.25"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</row>
    <row r="17" spans="2:24" x14ac:dyDescent="0.25">
      <c r="B17" s="257" t="s">
        <v>87</v>
      </c>
      <c r="C17" s="257"/>
      <c r="D17" s="257"/>
      <c r="E17" s="257"/>
      <c r="F17" s="257"/>
      <c r="G17" s="118" t="s">
        <v>78</v>
      </c>
      <c r="H17"/>
      <c r="I17"/>
      <c r="J17" s="118" t="s">
        <v>78</v>
      </c>
      <c r="K17"/>
      <c r="L17"/>
      <c r="M17"/>
      <c r="N17"/>
      <c r="O17"/>
      <c r="P17"/>
      <c r="Q17"/>
      <c r="R17"/>
      <c r="S17"/>
      <c r="T17"/>
      <c r="U17"/>
      <c r="V17"/>
      <c r="W17"/>
      <c r="X17"/>
    </row>
    <row r="18" spans="2:24" x14ac:dyDescent="0.25">
      <c r="B18" s="255" t="s">
        <v>88</v>
      </c>
      <c r="C18" s="255"/>
      <c r="D18" s="255"/>
      <c r="E18" s="255"/>
      <c r="F18" s="122"/>
      <c r="G18" s="127">
        <v>0</v>
      </c>
      <c r="H18"/>
      <c r="I18"/>
      <c r="J18" s="127">
        <f>G18</f>
        <v>0</v>
      </c>
      <c r="K18"/>
      <c r="L18"/>
      <c r="M18"/>
      <c r="N18"/>
      <c r="O18"/>
      <c r="P18"/>
      <c r="Q18"/>
      <c r="R18"/>
      <c r="S18"/>
      <c r="T18"/>
      <c r="U18"/>
      <c r="V18"/>
      <c r="W18"/>
      <c r="X18"/>
    </row>
    <row r="19" spans="2:24" x14ac:dyDescent="0.25">
      <c r="B19" s="278" t="s">
        <v>89</v>
      </c>
      <c r="C19" s="278"/>
      <c r="D19" s="278"/>
      <c r="E19" s="278"/>
      <c r="F19" s="122"/>
      <c r="G19" s="65">
        <v>0</v>
      </c>
      <c r="H19"/>
      <c r="I19"/>
      <c r="J19" s="65">
        <f>SUM(J18)</f>
        <v>0</v>
      </c>
      <c r="K19"/>
      <c r="L19"/>
      <c r="M19"/>
      <c r="N19"/>
      <c r="O19"/>
      <c r="P19"/>
      <c r="Q19"/>
      <c r="R19"/>
      <c r="S19"/>
      <c r="T19"/>
      <c r="U19"/>
      <c r="V19"/>
      <c r="W19"/>
      <c r="X19"/>
    </row>
    <row r="20" spans="2:24" x14ac:dyDescent="0.25"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</row>
    <row r="21" spans="2:24" x14ac:dyDescent="0.25">
      <c r="B21" s="268" t="s">
        <v>90</v>
      </c>
      <c r="C21" s="268"/>
      <c r="D21" s="268"/>
      <c r="E21" s="268"/>
      <c r="F21" s="268"/>
      <c r="G21" s="120" t="s">
        <v>78</v>
      </c>
      <c r="H21"/>
      <c r="I21"/>
      <c r="J21" s="120" t="s">
        <v>78</v>
      </c>
      <c r="K21"/>
      <c r="L21"/>
      <c r="M21"/>
      <c r="N21"/>
      <c r="O21"/>
      <c r="P21"/>
      <c r="Q21"/>
      <c r="R21"/>
      <c r="S21"/>
      <c r="T21"/>
      <c r="U21"/>
      <c r="V21"/>
      <c r="W21"/>
      <c r="X21"/>
    </row>
    <row r="22" spans="2:24" x14ac:dyDescent="0.25">
      <c r="B22" s="248" t="s">
        <v>91</v>
      </c>
      <c r="C22" s="248"/>
      <c r="D22" s="248"/>
      <c r="E22" s="248"/>
      <c r="F22" s="122"/>
      <c r="G22" s="127">
        <f>G6/12</f>
        <v>271.9975</v>
      </c>
      <c r="H22"/>
      <c r="I22"/>
      <c r="J22" s="127">
        <f>J6/12</f>
        <v>271.9975</v>
      </c>
      <c r="K22"/>
      <c r="L22"/>
      <c r="M22" s="123"/>
      <c r="N22"/>
      <c r="O22"/>
      <c r="P22"/>
      <c r="Q22"/>
      <c r="R22"/>
      <c r="S22"/>
      <c r="T22"/>
      <c r="U22"/>
      <c r="V22"/>
      <c r="W22"/>
      <c r="X22"/>
    </row>
    <row r="23" spans="2:24" x14ac:dyDescent="0.25">
      <c r="B23" s="279" t="s">
        <v>92</v>
      </c>
      <c r="C23" s="279"/>
      <c r="D23" s="279"/>
      <c r="E23" s="279"/>
      <c r="F23" s="279"/>
      <c r="G23" s="65">
        <f>SUM(G22)</f>
        <v>271.9975</v>
      </c>
      <c r="H23"/>
      <c r="I23"/>
      <c r="J23" s="65">
        <f>SUM(J22)</f>
        <v>271.9975</v>
      </c>
      <c r="K23"/>
      <c r="L23"/>
      <c r="M23"/>
      <c r="N23"/>
      <c r="O23" s="173"/>
      <c r="P23" s="173"/>
      <c r="Q23" s="173"/>
      <c r="R23" s="173"/>
      <c r="S23" s="173"/>
      <c r="T23" s="173"/>
      <c r="U23"/>
      <c r="V23"/>
      <c r="W23"/>
      <c r="X23"/>
    </row>
    <row r="24" spans="2:24" x14ac:dyDescent="0.25">
      <c r="B24" s="286"/>
      <c r="C24" s="286"/>
      <c r="D24" s="286"/>
      <c r="E24" s="286"/>
      <c r="F24" s="286"/>
      <c r="G24" s="128"/>
      <c r="H24"/>
      <c r="I24"/>
      <c r="J24" s="128"/>
      <c r="K24"/>
      <c r="L24"/>
      <c r="M24"/>
      <c r="N24"/>
      <c r="O24" s="173"/>
      <c r="P24" s="173"/>
      <c r="Q24" s="173"/>
      <c r="R24" s="173"/>
      <c r="S24" s="173"/>
      <c r="T24" s="173"/>
      <c r="U24"/>
      <c r="V24"/>
      <c r="W24"/>
      <c r="X24"/>
    </row>
    <row r="25" spans="2:24" x14ac:dyDescent="0.25">
      <c r="B25" s="268" t="s">
        <v>98</v>
      </c>
      <c r="C25" s="268"/>
      <c r="D25" s="268"/>
      <c r="E25" s="268"/>
      <c r="F25" s="268"/>
      <c r="G25" s="120" t="s">
        <v>78</v>
      </c>
      <c r="H25"/>
      <c r="I25"/>
      <c r="J25" s="120" t="s">
        <v>78</v>
      </c>
      <c r="K25"/>
      <c r="L25"/>
      <c r="M25"/>
      <c r="N25"/>
      <c r="O25" s="129"/>
      <c r="P25"/>
      <c r="Q25"/>
      <c r="R25"/>
      <c r="S25"/>
      <c r="T25"/>
      <c r="U25"/>
      <c r="V25"/>
      <c r="W25"/>
      <c r="X25"/>
    </row>
    <row r="26" spans="2:24" x14ac:dyDescent="0.25">
      <c r="B26" s="311" t="s">
        <v>118</v>
      </c>
      <c r="C26" s="288"/>
      <c r="D26" s="288"/>
      <c r="E26" s="288"/>
      <c r="F26" s="289"/>
      <c r="G26" s="130">
        <v>0</v>
      </c>
      <c r="H26"/>
      <c r="I26"/>
      <c r="J26" s="130">
        <v>0</v>
      </c>
      <c r="K26"/>
      <c r="L26"/>
      <c r="M26" s="123"/>
      <c r="N26"/>
      <c r="O26"/>
      <c r="P26"/>
      <c r="Q26"/>
      <c r="R26"/>
      <c r="S26"/>
      <c r="T26"/>
      <c r="U26"/>
      <c r="V26"/>
      <c r="W26"/>
      <c r="X26"/>
    </row>
    <row r="27" spans="2:24" x14ac:dyDescent="0.25">
      <c r="B27" s="287" t="s">
        <v>102</v>
      </c>
      <c r="C27" s="288"/>
      <c r="D27" s="288"/>
      <c r="E27" s="288"/>
      <c r="F27" s="289"/>
      <c r="G27" s="131">
        <f>SUM(G26)</f>
        <v>0</v>
      </c>
      <c r="H27"/>
      <c r="I27"/>
      <c r="J27" s="131">
        <f>SUM(J26)</f>
        <v>0</v>
      </c>
      <c r="K27"/>
      <c r="L27"/>
      <c r="M27" s="132"/>
      <c r="N27"/>
      <c r="O27"/>
      <c r="P27"/>
      <c r="Q27"/>
      <c r="R27" s="133"/>
      <c r="S27"/>
      <c r="T27"/>
      <c r="U27"/>
      <c r="V27"/>
      <c r="W27"/>
      <c r="X27"/>
    </row>
    <row r="28" spans="2:24" ht="31.5" customHeight="1" x14ac:dyDescent="0.25">
      <c r="B28" s="128"/>
      <c r="C28" s="128"/>
      <c r="D28" s="128"/>
      <c r="E28" s="128"/>
      <c r="F28" s="128"/>
      <c r="G28" s="128"/>
      <c r="H28"/>
      <c r="I28"/>
      <c r="J28" s="128"/>
      <c r="K28"/>
      <c r="L28"/>
      <c r="M28" s="132"/>
      <c r="N28"/>
      <c r="O28"/>
      <c r="P28"/>
      <c r="Q28"/>
      <c r="R28" s="312"/>
      <c r="S28" s="312"/>
      <c r="T28" s="312"/>
      <c r="U28"/>
      <c r="V28"/>
      <c r="W28"/>
      <c r="X28"/>
    </row>
    <row r="29" spans="2:24" x14ac:dyDescent="0.25">
      <c r="B29" s="268" t="s">
        <v>99</v>
      </c>
      <c r="C29" s="268"/>
      <c r="D29" s="268"/>
      <c r="E29" s="268"/>
      <c r="F29" s="268"/>
      <c r="G29" s="120" t="s">
        <v>78</v>
      </c>
      <c r="H29"/>
      <c r="I29"/>
      <c r="J29" s="120" t="s">
        <v>78</v>
      </c>
      <c r="K29"/>
      <c r="L29"/>
      <c r="M29"/>
      <c r="N29"/>
      <c r="O29"/>
      <c r="P29"/>
      <c r="Q29"/>
      <c r="R29" s="134"/>
      <c r="S29" s="134"/>
      <c r="T29" s="134"/>
      <c r="U29"/>
      <c r="V29"/>
      <c r="W29"/>
      <c r="X29"/>
    </row>
    <row r="30" spans="2:24" x14ac:dyDescent="0.25">
      <c r="B30" s="275" t="s">
        <v>93</v>
      </c>
      <c r="C30" s="276"/>
      <c r="D30" s="277"/>
      <c r="E30" s="269">
        <v>0.2</v>
      </c>
      <c r="F30" s="270"/>
      <c r="G30" s="122">
        <f>G6*E30</f>
        <v>652.79399999999998</v>
      </c>
      <c r="H30"/>
      <c r="I30" s="133">
        <f>E30</f>
        <v>0.2</v>
      </c>
      <c r="J30" s="122">
        <f>G30</f>
        <v>652.79399999999998</v>
      </c>
      <c r="K30"/>
      <c r="L30"/>
      <c r="M30" s="123"/>
      <c r="N30"/>
      <c r="O30"/>
      <c r="P30"/>
      <c r="Q30"/>
      <c r="R30"/>
      <c r="S30"/>
      <c r="T30"/>
      <c r="U30"/>
      <c r="V30"/>
      <c r="W30"/>
      <c r="X30"/>
    </row>
    <row r="31" spans="2:24" x14ac:dyDescent="0.25">
      <c r="B31" s="245" t="s">
        <v>94</v>
      </c>
      <c r="C31" s="246"/>
      <c r="D31" s="247"/>
      <c r="E31" s="271">
        <v>0.03</v>
      </c>
      <c r="F31" s="272"/>
      <c r="G31" s="127">
        <v>0</v>
      </c>
      <c r="H31"/>
      <c r="I31" s="133">
        <f>E31</f>
        <v>0.03</v>
      </c>
      <c r="J31" s="127">
        <f>G31</f>
        <v>0</v>
      </c>
      <c r="K31"/>
      <c r="L31"/>
      <c r="M31"/>
      <c r="N31"/>
      <c r="O31"/>
      <c r="P31"/>
      <c r="Q31"/>
      <c r="R31"/>
      <c r="S31"/>
      <c r="T31"/>
      <c r="U31"/>
      <c r="V31"/>
      <c r="W31"/>
      <c r="X31"/>
    </row>
    <row r="32" spans="2:24" x14ac:dyDescent="0.25">
      <c r="B32" s="245" t="s">
        <v>95</v>
      </c>
      <c r="C32" s="246"/>
      <c r="D32" s="247"/>
      <c r="E32" s="273">
        <v>2.5000000000000001E-2</v>
      </c>
      <c r="F32" s="274"/>
      <c r="G32" s="127">
        <v>0</v>
      </c>
      <c r="H32" s="129"/>
      <c r="I32">
        <v>0</v>
      </c>
      <c r="J32" s="127">
        <v>0</v>
      </c>
      <c r="K32"/>
      <c r="L32"/>
      <c r="M32" s="250"/>
      <c r="N32" s="250"/>
      <c r="O32" s="250"/>
      <c r="P32" s="250"/>
      <c r="Q32" s="250"/>
      <c r="R32" s="250"/>
      <c r="S32" s="250"/>
      <c r="T32" s="250"/>
      <c r="U32"/>
      <c r="V32"/>
      <c r="W32"/>
      <c r="X32"/>
    </row>
    <row r="33" spans="2:24" x14ac:dyDescent="0.25">
      <c r="B33" s="245" t="s">
        <v>179</v>
      </c>
      <c r="C33" s="246"/>
      <c r="D33" s="247"/>
      <c r="E33" s="273">
        <v>3.3000000000000002E-2</v>
      </c>
      <c r="F33" s="274"/>
      <c r="G33" s="127">
        <v>0</v>
      </c>
      <c r="H33" s="71">
        <f>G32+G33</f>
        <v>0</v>
      </c>
      <c r="I33">
        <v>0</v>
      </c>
      <c r="J33" s="127">
        <v>0</v>
      </c>
      <c r="K33"/>
      <c r="L33"/>
      <c r="M33" s="250"/>
      <c r="N33" s="250"/>
      <c r="O33" s="250"/>
      <c r="P33" s="250"/>
      <c r="Q33" s="250"/>
      <c r="R33" s="250"/>
      <c r="S33" s="250"/>
      <c r="T33" s="250"/>
      <c r="U33"/>
      <c r="V33"/>
      <c r="W33"/>
      <c r="X33"/>
    </row>
    <row r="34" spans="2:24" x14ac:dyDescent="0.25">
      <c r="B34" s="245" t="s">
        <v>96</v>
      </c>
      <c r="C34" s="246"/>
      <c r="D34" s="247"/>
      <c r="E34" s="273">
        <v>0.08</v>
      </c>
      <c r="F34" s="274"/>
      <c r="G34" s="127">
        <f>G6*E34</f>
        <v>261.11759999999998</v>
      </c>
      <c r="H34"/>
      <c r="I34" s="133">
        <f>E34</f>
        <v>0.08</v>
      </c>
      <c r="J34" s="127">
        <f>G34</f>
        <v>261.11759999999998</v>
      </c>
      <c r="K34"/>
      <c r="L34"/>
      <c r="M34"/>
      <c r="N34"/>
      <c r="O34"/>
      <c r="P34"/>
      <c r="Q34"/>
      <c r="R34"/>
      <c r="S34"/>
      <c r="T34"/>
      <c r="U34"/>
      <c r="V34"/>
      <c r="W34"/>
      <c r="X34"/>
    </row>
    <row r="35" spans="2:24" x14ac:dyDescent="0.25">
      <c r="B35" s="280" t="s">
        <v>97</v>
      </c>
      <c r="C35" s="280"/>
      <c r="D35" s="280"/>
      <c r="E35" s="281">
        <f>SUM(E30:E34)</f>
        <v>0.36800000000000005</v>
      </c>
      <c r="F35" s="282"/>
      <c r="G35" s="127">
        <f>SUM(G30:G34)</f>
        <v>913.91159999999991</v>
      </c>
      <c r="H35"/>
      <c r="I35" s="135">
        <f>SUM(I30:I34)</f>
        <v>0.31</v>
      </c>
      <c r="J35" s="136">
        <f>SUM(J30:J34)</f>
        <v>913.91159999999991</v>
      </c>
      <c r="K35"/>
      <c r="L35"/>
      <c r="M35"/>
      <c r="N35"/>
      <c r="O35"/>
      <c r="P35"/>
      <c r="Q35"/>
      <c r="R35"/>
      <c r="S35"/>
      <c r="T35"/>
      <c r="U35"/>
      <c r="V35"/>
      <c r="W35"/>
      <c r="X35"/>
    </row>
    <row r="36" spans="2:24" x14ac:dyDescent="0.25">
      <c r="B36" s="283" t="s">
        <v>100</v>
      </c>
      <c r="C36" s="283"/>
      <c r="D36" s="283"/>
      <c r="E36" s="283"/>
      <c r="F36" s="284"/>
      <c r="G36" s="127">
        <f>G23*E35</f>
        <v>100.09508000000001</v>
      </c>
      <c r="H36"/>
      <c r="I36"/>
      <c r="J36" s="127">
        <f>J23*I35</f>
        <v>84.319225000000003</v>
      </c>
      <c r="K36"/>
      <c r="L36"/>
      <c r="M36"/>
      <c r="N36"/>
      <c r="O36"/>
      <c r="P36"/>
      <c r="Q36"/>
      <c r="R36"/>
      <c r="S36"/>
      <c r="T36"/>
      <c r="U36"/>
      <c r="V36"/>
      <c r="W36"/>
      <c r="X36"/>
    </row>
    <row r="37" spans="2:24" x14ac:dyDescent="0.25">
      <c r="B37" s="285" t="s">
        <v>101</v>
      </c>
      <c r="C37" s="285"/>
      <c r="D37" s="285"/>
      <c r="E37" s="285"/>
      <c r="F37" s="285"/>
      <c r="G37" s="65">
        <f>SUM(G34:G36)</f>
        <v>1275.12428</v>
      </c>
      <c r="H37"/>
      <c r="I37"/>
      <c r="J37" s="65">
        <f>SUM(J34:J36)</f>
        <v>1259.3484249999999</v>
      </c>
      <c r="K37"/>
      <c r="L37"/>
      <c r="M37"/>
      <c r="N37"/>
      <c r="O37"/>
      <c r="P37"/>
      <c r="Q37"/>
      <c r="R37"/>
      <c r="S37"/>
      <c r="T37"/>
      <c r="U37"/>
      <c r="V37"/>
      <c r="W37"/>
      <c r="X37"/>
    </row>
    <row r="38" spans="2:24" x14ac:dyDescent="0.25"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</row>
    <row r="39" spans="2:24" x14ac:dyDescent="0.25">
      <c r="B39" s="268" t="s">
        <v>108</v>
      </c>
      <c r="C39" s="268"/>
      <c r="D39" s="268"/>
      <c r="E39" s="268"/>
      <c r="F39" s="268"/>
      <c r="G39" s="137" t="s">
        <v>78</v>
      </c>
      <c r="H39"/>
      <c r="I39"/>
      <c r="J39" s="137" t="s">
        <v>78</v>
      </c>
      <c r="K39"/>
      <c r="L39"/>
      <c r="M39" s="138"/>
      <c r="N39" s="138"/>
      <c r="O39" s="138"/>
      <c r="P39" s="138"/>
      <c r="Q39" s="261">
        <f>G6+G22+O25</f>
        <v>3535.9674999999997</v>
      </c>
      <c r="R39" s="292"/>
      <c r="S39" s="292"/>
      <c r="T39" s="259"/>
      <c r="U39" s="290"/>
      <c r="V39" s="290"/>
      <c r="W39" s="290"/>
      <c r="X39" s="290"/>
    </row>
    <row r="40" spans="2:24" x14ac:dyDescent="0.25">
      <c r="B40" s="255" t="s">
        <v>103</v>
      </c>
      <c r="C40" s="255"/>
      <c r="D40" s="255"/>
      <c r="E40" s="64"/>
      <c r="F40" s="122"/>
      <c r="G40" s="127">
        <f>T44</f>
        <v>48.458335968796121</v>
      </c>
      <c r="H40"/>
      <c r="I40"/>
      <c r="J40" s="127">
        <f>G40</f>
        <v>48.458335968796121</v>
      </c>
      <c r="K40"/>
      <c r="L40"/>
      <c r="M40" s="139" t="s">
        <v>129</v>
      </c>
      <c r="N40" s="138"/>
      <c r="O40" s="138"/>
      <c r="P40" s="138"/>
      <c r="Q40" s="262"/>
      <c r="R40" s="292"/>
      <c r="S40" s="292"/>
      <c r="T40" s="293"/>
      <c r="U40" s="291"/>
      <c r="V40" s="291"/>
      <c r="W40" s="291"/>
      <c r="X40" s="291"/>
    </row>
    <row r="41" spans="2:24" x14ac:dyDescent="0.25">
      <c r="B41" s="255" t="s">
        <v>104</v>
      </c>
      <c r="C41" s="255"/>
      <c r="D41" s="255"/>
      <c r="E41" s="64"/>
      <c r="F41" s="140">
        <f>E34</f>
        <v>0.08</v>
      </c>
      <c r="G41" s="127">
        <f>G40*F41</f>
        <v>3.8766668775036899</v>
      </c>
      <c r="H41"/>
      <c r="I41"/>
      <c r="J41" s="127">
        <f>G41</f>
        <v>3.8766668775036899</v>
      </c>
      <c r="K41"/>
      <c r="L41"/>
      <c r="M41" s="265"/>
      <c r="N41" s="266"/>
      <c r="O41" s="267"/>
      <c r="P41" s="141"/>
      <c r="Q41" s="142"/>
      <c r="R41" s="72"/>
      <c r="S41" s="142"/>
      <c r="T41" s="143"/>
      <c r="U41" s="69"/>
      <c r="V41" s="129"/>
      <c r="W41" s="70"/>
      <c r="X41" s="71"/>
    </row>
    <row r="42" spans="2:24" ht="24.75" customHeight="1" x14ac:dyDescent="0.25">
      <c r="B42" s="255" t="s">
        <v>105</v>
      </c>
      <c r="C42" s="255"/>
      <c r="D42" s="255"/>
      <c r="E42" s="64"/>
      <c r="F42" s="122"/>
      <c r="G42" s="127">
        <f>R49</f>
        <v>91.935154999999995</v>
      </c>
      <c r="H42"/>
      <c r="I42"/>
      <c r="J42" s="127">
        <f>G42</f>
        <v>91.935154999999995</v>
      </c>
      <c r="K42"/>
      <c r="L42"/>
      <c r="M42" s="261" t="s">
        <v>120</v>
      </c>
      <c r="N42" s="261" t="s">
        <v>121</v>
      </c>
      <c r="O42" s="261" t="s">
        <v>122</v>
      </c>
      <c r="P42" s="263" t="s">
        <v>128</v>
      </c>
      <c r="Q42" s="263" t="s">
        <v>124</v>
      </c>
      <c r="R42" s="259" t="s">
        <v>125</v>
      </c>
      <c r="S42" s="259" t="s">
        <v>126</v>
      </c>
      <c r="T42" s="259" t="s">
        <v>127</v>
      </c>
      <c r="U42" s="144"/>
      <c r="V42" s="144"/>
      <c r="W42" s="144"/>
      <c r="X42" s="144"/>
    </row>
    <row r="43" spans="2:24" ht="22.5" customHeight="1" x14ac:dyDescent="0.25">
      <c r="B43" s="255" t="s">
        <v>106</v>
      </c>
      <c r="C43" s="255"/>
      <c r="D43" s="255"/>
      <c r="E43" s="64"/>
      <c r="F43" s="122"/>
      <c r="G43" s="127">
        <f>T57</f>
        <v>68.384689373814027</v>
      </c>
      <c r="H43"/>
      <c r="I43"/>
      <c r="J43" s="127">
        <f>T58</f>
        <v>68.384689373814027</v>
      </c>
      <c r="K43"/>
      <c r="L43"/>
      <c r="M43" s="262"/>
      <c r="N43" s="262"/>
      <c r="O43" s="262"/>
      <c r="P43" s="264"/>
      <c r="Q43" s="264"/>
      <c r="R43" s="259"/>
      <c r="S43" s="259"/>
      <c r="T43" s="259"/>
      <c r="U43"/>
      <c r="V43"/>
      <c r="W43"/>
      <c r="X43"/>
    </row>
    <row r="44" spans="2:24" ht="21" customHeight="1" x14ac:dyDescent="0.25">
      <c r="B44" s="256" t="s">
        <v>113</v>
      </c>
      <c r="C44" s="256"/>
      <c r="D44" s="256"/>
      <c r="E44" s="256"/>
      <c r="F44" s="256"/>
      <c r="G44" s="127">
        <f>G43*E35</f>
        <v>25.165565689563564</v>
      </c>
      <c r="H44"/>
      <c r="I44"/>
      <c r="J44" s="127">
        <f>G44</f>
        <v>25.165565689563564</v>
      </c>
      <c r="K44"/>
      <c r="L44"/>
      <c r="M44" s="142">
        <v>30</v>
      </c>
      <c r="N44" s="72">
        <v>9</v>
      </c>
      <c r="O44" s="142">
        <f>M44+N44</f>
        <v>39</v>
      </c>
      <c r="P44" s="143">
        <f>(Q39/M44)*O44</f>
        <v>4596.7577499999998</v>
      </c>
      <c r="Q44" s="72">
        <v>47.43</v>
      </c>
      <c r="R44" s="145">
        <f>P44/Q44</f>
        <v>96.916671937592241</v>
      </c>
      <c r="S44" s="73">
        <v>0.5</v>
      </c>
      <c r="T44" s="74">
        <f>R44*S44</f>
        <v>48.458335968796121</v>
      </c>
      <c r="U44"/>
      <c r="V44"/>
      <c r="W44"/>
      <c r="X44"/>
    </row>
    <row r="45" spans="2:24" ht="15.75" customHeight="1" x14ac:dyDescent="0.25">
      <c r="B45" s="255" t="s">
        <v>107</v>
      </c>
      <c r="C45" s="255"/>
      <c r="D45" s="255"/>
      <c r="E45" s="64"/>
      <c r="F45" s="122"/>
      <c r="G45" s="127">
        <f>R61</f>
        <v>129.73943267999996</v>
      </c>
      <c r="H45"/>
      <c r="I45"/>
      <c r="J45" s="127">
        <f>G45</f>
        <v>129.73943267999996</v>
      </c>
      <c r="K45"/>
      <c r="L45"/>
      <c r="M45" s="142"/>
      <c r="N45" s="142"/>
      <c r="O45" s="142"/>
      <c r="P45" s="142"/>
      <c r="Q45" s="260" t="s">
        <v>119</v>
      </c>
      <c r="R45" s="260"/>
      <c r="S45" s="260"/>
      <c r="T45" s="142"/>
      <c r="U45"/>
      <c r="V45"/>
      <c r="W45"/>
      <c r="X45"/>
    </row>
    <row r="46" spans="2:24" x14ac:dyDescent="0.25">
      <c r="B46" s="257" t="s">
        <v>109</v>
      </c>
      <c r="C46" s="257"/>
      <c r="D46" s="257"/>
      <c r="E46" s="257"/>
      <c r="F46" s="257"/>
      <c r="G46" s="65">
        <f>SUM(G40:G45)</f>
        <v>367.55984558967737</v>
      </c>
      <c r="H46"/>
      <c r="I46"/>
      <c r="J46" s="65">
        <f>SUM(J40:J45)</f>
        <v>367.55984558967737</v>
      </c>
      <c r="K46"/>
      <c r="L46"/>
      <c r="M46" s="142"/>
      <c r="N46" s="142"/>
      <c r="O46" s="142"/>
      <c r="P46" s="142"/>
      <c r="Q46" s="260"/>
      <c r="R46" s="260"/>
      <c r="S46" s="260"/>
      <c r="T46" s="142"/>
      <c r="U46"/>
      <c r="V46"/>
      <c r="W46"/>
      <c r="X46"/>
    </row>
    <row r="47" spans="2:24" x14ac:dyDescent="0.25"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</row>
    <row r="48" spans="2:24" x14ac:dyDescent="0.25">
      <c r="B48" s="258" t="s">
        <v>111</v>
      </c>
      <c r="C48" s="258"/>
      <c r="D48" s="258"/>
      <c r="E48" s="258"/>
      <c r="F48" s="258"/>
      <c r="G48" s="146"/>
      <c r="H48"/>
      <c r="I48"/>
      <c r="J48" s="146"/>
      <c r="K48"/>
      <c r="L48"/>
      <c r="M48" s="138" t="s">
        <v>130</v>
      </c>
      <c r="N48" s="138" t="s">
        <v>131</v>
      </c>
      <c r="O48" s="138" t="s">
        <v>96</v>
      </c>
      <c r="P48" s="138" t="s">
        <v>132</v>
      </c>
      <c r="Q48" s="138" t="s">
        <v>126</v>
      </c>
      <c r="R48" s="138" t="s">
        <v>133</v>
      </c>
      <c r="S48" s="147"/>
      <c r="T48" s="148"/>
      <c r="U48" s="148"/>
      <c r="V48" s="144"/>
      <c r="W48" s="144"/>
      <c r="X48" s="144"/>
    </row>
    <row r="49" spans="2:24" ht="49.5" customHeight="1" x14ac:dyDescent="0.25">
      <c r="B49" s="297" t="s">
        <v>141</v>
      </c>
      <c r="C49" s="298"/>
      <c r="D49" s="298"/>
      <c r="E49" s="298"/>
      <c r="F49" s="299"/>
      <c r="G49" s="80" t="s">
        <v>142</v>
      </c>
      <c r="H49" s="69"/>
      <c r="I49" s="69"/>
      <c r="J49" s="80" t="s">
        <v>142</v>
      </c>
      <c r="K49" s="69"/>
      <c r="L49"/>
      <c r="M49" s="149">
        <f>P44</f>
        <v>4596.7577499999998</v>
      </c>
      <c r="N49" s="150">
        <v>0.5</v>
      </c>
      <c r="O49" s="150">
        <v>0.08</v>
      </c>
      <c r="P49" s="151">
        <f>M49*N49*O49</f>
        <v>183.87030999999999</v>
      </c>
      <c r="Q49" s="73">
        <v>0.5</v>
      </c>
      <c r="R49" s="152">
        <f>P49*Q49</f>
        <v>91.935154999999995</v>
      </c>
      <c r="S49" s="147"/>
      <c r="T49" s="148"/>
      <c r="U49" s="148"/>
      <c r="V49" s="144"/>
      <c r="W49" s="144"/>
      <c r="X49" s="144"/>
    </row>
    <row r="50" spans="2:24" x14ac:dyDescent="0.25">
      <c r="B50" s="249" t="s">
        <v>110</v>
      </c>
      <c r="C50" s="250"/>
      <c r="D50" s="250"/>
      <c r="E50" s="250"/>
      <c r="F50" s="251"/>
      <c r="G50" s="300">
        <f>G10*2.53%</f>
        <v>8.5276180000000004</v>
      </c>
      <c r="H50"/>
      <c r="I50"/>
      <c r="J50" s="300">
        <f>J10*2.53%</f>
        <v>8.5276180000000004</v>
      </c>
      <c r="K50"/>
      <c r="L50"/>
      <c r="M50" s="250" t="s">
        <v>134</v>
      </c>
      <c r="N50" s="250"/>
      <c r="O50" s="250"/>
      <c r="P50" s="250"/>
      <c r="Q50" s="250"/>
      <c r="R50" s="250"/>
      <c r="S50" s="250"/>
      <c r="T50" s="153"/>
      <c r="U50" s="153"/>
      <c r="V50" s="153"/>
      <c r="W50" s="153"/>
      <c r="X50" s="153"/>
    </row>
    <row r="51" spans="2:24" ht="28.5" customHeight="1" x14ac:dyDescent="0.25">
      <c r="B51" s="252"/>
      <c r="C51" s="253"/>
      <c r="D51" s="253"/>
      <c r="E51" s="253"/>
      <c r="F51" s="254"/>
      <c r="G51" s="301"/>
      <c r="H51"/>
      <c r="I51"/>
      <c r="J51" s="301"/>
      <c r="K51"/>
      <c r="L51"/>
      <c r="M51" s="250"/>
      <c r="N51" s="250"/>
      <c r="O51" s="250"/>
      <c r="P51" s="250"/>
      <c r="Q51" s="250"/>
      <c r="R51" s="250"/>
      <c r="S51" s="250"/>
      <c r="T51" s="153"/>
      <c r="U51" s="153"/>
      <c r="V51" s="153"/>
      <c r="W51" s="153"/>
      <c r="X51" s="153"/>
    </row>
    <row r="52" spans="2:24" ht="28.5" customHeight="1" x14ac:dyDescent="0.25">
      <c r="B52" s="154"/>
      <c r="C52" s="154"/>
      <c r="D52" s="154"/>
      <c r="E52" s="154"/>
      <c r="F52" s="154"/>
      <c r="G52" s="79">
        <f>SUM(G49:G51)</f>
        <v>8.5276180000000004</v>
      </c>
      <c r="H52"/>
      <c r="I52"/>
      <c r="J52" s="79">
        <f>SUM(J49:J51)</f>
        <v>8.5276180000000004</v>
      </c>
      <c r="K52"/>
      <c r="L52"/>
      <c r="M52" s="305" t="s">
        <v>175</v>
      </c>
      <c r="N52" s="305"/>
      <c r="O52" s="305"/>
      <c r="P52" s="305"/>
      <c r="Q52" s="305"/>
      <c r="R52" s="305"/>
      <c r="S52" s="305"/>
      <c r="T52" s="305"/>
      <c r="U52" s="153"/>
      <c r="V52" s="153"/>
      <c r="W52" s="153"/>
      <c r="X52" s="153"/>
    </row>
    <row r="53" spans="2:24" x14ac:dyDescent="0.25">
      <c r="B53" s="306" t="s">
        <v>114</v>
      </c>
      <c r="C53" s="306"/>
      <c r="D53" s="306"/>
      <c r="E53" s="306"/>
      <c r="F53" s="144"/>
      <c r="G53" s="132">
        <f>G52*E35</f>
        <v>3.1381634240000005</v>
      </c>
      <c r="H53"/>
      <c r="I53"/>
      <c r="J53" s="132">
        <f>J52*I35</f>
        <v>2.6435615800000001</v>
      </c>
      <c r="K53"/>
      <c r="L53"/>
      <c r="M53"/>
      <c r="N53"/>
      <c r="O53"/>
      <c r="P53"/>
      <c r="Q53"/>
      <c r="R53"/>
      <c r="S53"/>
      <c r="T53"/>
      <c r="U53"/>
      <c r="V53"/>
      <c r="W53"/>
      <c r="X53"/>
    </row>
    <row r="54" spans="2:24" x14ac:dyDescent="0.25">
      <c r="B54" s="307" t="s">
        <v>112</v>
      </c>
      <c r="C54" s="307"/>
      <c r="D54" s="307"/>
      <c r="E54" s="307"/>
      <c r="F54" s="307"/>
      <c r="G54" s="53">
        <f>SUM(G50:G53)</f>
        <v>20.193399424000003</v>
      </c>
      <c r="H54"/>
      <c r="I54"/>
      <c r="J54" s="53">
        <f>SUM(J50:J53)</f>
        <v>19.698797580000001</v>
      </c>
      <c r="K54"/>
      <c r="L54"/>
      <c r="M54" s="302" t="s">
        <v>135</v>
      </c>
      <c r="N54" s="303"/>
      <c r="O54" s="303"/>
      <c r="P54" s="304"/>
      <c r="Q54" s="155" t="s">
        <v>130</v>
      </c>
      <c r="R54" s="156">
        <f>G6+G15+G22+O25+G30+G31+G32+G33+G36+G34</f>
        <v>4989.9781799999992</v>
      </c>
      <c r="S54"/>
      <c r="T54"/>
      <c r="U54"/>
      <c r="V54"/>
      <c r="W54"/>
      <c r="X54"/>
    </row>
    <row r="55" spans="2:24" x14ac:dyDescent="0.25">
      <c r="B55"/>
      <c r="C55"/>
      <c r="D55"/>
      <c r="E55"/>
      <c r="F55"/>
      <c r="G55"/>
      <c r="H55"/>
      <c r="I55"/>
      <c r="J55"/>
      <c r="K55"/>
      <c r="L55"/>
      <c r="M55" s="123" t="s">
        <v>137</v>
      </c>
      <c r="N55"/>
      <c r="O55"/>
      <c r="P55"/>
      <c r="Q55"/>
      <c r="R55" s="157"/>
      <c r="S55"/>
      <c r="T55"/>
      <c r="U55"/>
      <c r="V55"/>
      <c r="W55"/>
      <c r="X55"/>
    </row>
    <row r="56" spans="2:24" ht="75" x14ac:dyDescent="0.25">
      <c r="B56" s="308" t="s">
        <v>115</v>
      </c>
      <c r="C56" s="309"/>
      <c r="D56" s="309"/>
      <c r="E56" s="309"/>
      <c r="F56" s="310"/>
      <c r="G56" s="120" t="s">
        <v>78</v>
      </c>
      <c r="H56"/>
      <c r="I56"/>
      <c r="J56" s="120" t="s">
        <v>78</v>
      </c>
      <c r="K56"/>
      <c r="L56"/>
      <c r="M56" s="158" t="s">
        <v>120</v>
      </c>
      <c r="N56" s="158" t="s">
        <v>121</v>
      </c>
      <c r="O56" s="158" t="s">
        <v>122</v>
      </c>
      <c r="P56" s="159" t="s">
        <v>123</v>
      </c>
      <c r="Q56" s="159" t="s">
        <v>124</v>
      </c>
      <c r="R56" s="159" t="s">
        <v>125</v>
      </c>
      <c r="S56" s="159" t="s">
        <v>126</v>
      </c>
      <c r="T56" s="160" t="s">
        <v>138</v>
      </c>
      <c r="U56" s="161"/>
      <c r="V56"/>
      <c r="W56"/>
      <c r="X56"/>
    </row>
    <row r="57" spans="2:24" x14ac:dyDescent="0.25">
      <c r="B57" s="255" t="s">
        <v>77</v>
      </c>
      <c r="C57" s="255"/>
      <c r="D57" s="255"/>
      <c r="E57" s="255"/>
      <c r="F57" s="66"/>
      <c r="G57" s="67">
        <f>G6</f>
        <v>3263.97</v>
      </c>
      <c r="H57"/>
      <c r="I57"/>
      <c r="J57" s="67">
        <f>J6</f>
        <v>3263.97</v>
      </c>
      <c r="K57"/>
      <c r="L57"/>
      <c r="M57" s="162">
        <v>30</v>
      </c>
      <c r="N57" s="75">
        <v>9</v>
      </c>
      <c r="O57" s="162">
        <f>SUM(M57:N57)</f>
        <v>39</v>
      </c>
      <c r="P57" s="162">
        <f>(R54/M57)*O57</f>
        <v>6486.9716339999986</v>
      </c>
      <c r="Q57" s="76">
        <f>Q44</f>
        <v>47.43</v>
      </c>
      <c r="R57" s="163">
        <f>P57/Q57</f>
        <v>136.76937874762805</v>
      </c>
      <c r="S57" s="77">
        <v>0.5</v>
      </c>
      <c r="T57" s="164">
        <f>R57*S57</f>
        <v>68.384689373814027</v>
      </c>
      <c r="U57" s="144"/>
      <c r="V57"/>
      <c r="W57"/>
      <c r="X57"/>
    </row>
    <row r="58" spans="2:24" x14ac:dyDescent="0.25">
      <c r="B58" s="248" t="s">
        <v>80</v>
      </c>
      <c r="C58" s="248"/>
      <c r="D58" s="248"/>
      <c r="E58" s="248"/>
      <c r="F58" s="122"/>
      <c r="G58" s="54">
        <f>G15</f>
        <v>440.00400000000002</v>
      </c>
      <c r="H58"/>
      <c r="I58"/>
      <c r="J58" s="54">
        <f>J15</f>
        <v>440.00400000000002</v>
      </c>
      <c r="K58"/>
      <c r="L58"/>
      <c r="M58" t="s">
        <v>170</v>
      </c>
      <c r="N58"/>
      <c r="O58"/>
      <c r="P58" s="165">
        <f>((R54-(G32+G33))/30)*O57</f>
        <v>6486.9716339999986</v>
      </c>
      <c r="Q58" s="129"/>
      <c r="R58" s="166">
        <f>P58/Q57</f>
        <v>136.76937874762805</v>
      </c>
      <c r="S58"/>
      <c r="T58" s="129">
        <f>R58*S57</f>
        <v>68.384689373814027</v>
      </c>
      <c r="U58"/>
      <c r="V58"/>
      <c r="W58"/>
      <c r="X58"/>
    </row>
    <row r="59" spans="2:24" x14ac:dyDescent="0.25">
      <c r="B59" s="248" t="s">
        <v>87</v>
      </c>
      <c r="C59" s="248"/>
      <c r="D59" s="248"/>
      <c r="E59" s="248"/>
      <c r="F59" s="122"/>
      <c r="G59" s="127">
        <v>0</v>
      </c>
      <c r="H59"/>
      <c r="I59"/>
      <c r="J59" s="127">
        <v>0</v>
      </c>
      <c r="K59"/>
      <c r="L59"/>
      <c r="M59" s="294" t="s">
        <v>107</v>
      </c>
      <c r="N59" s="295"/>
      <c r="O59" s="296"/>
      <c r="P59" s="129"/>
      <c r="Q59" s="129"/>
      <c r="R59" s="167"/>
      <c r="S59"/>
      <c r="T59"/>
      <c r="U59"/>
      <c r="V59"/>
      <c r="W59"/>
      <c r="X59"/>
    </row>
    <row r="60" spans="2:24" ht="45" x14ac:dyDescent="0.25">
      <c r="B60" s="248" t="s">
        <v>90</v>
      </c>
      <c r="C60" s="248"/>
      <c r="D60" s="248"/>
      <c r="E60" s="248"/>
      <c r="F60" s="122"/>
      <c r="G60" s="127">
        <f>G23</f>
        <v>271.9975</v>
      </c>
      <c r="H60"/>
      <c r="I60"/>
      <c r="J60" s="127">
        <f>J23</f>
        <v>271.9975</v>
      </c>
      <c r="K60"/>
      <c r="L60"/>
      <c r="M60" s="168" t="s">
        <v>139</v>
      </c>
      <c r="N60" s="168" t="s">
        <v>131</v>
      </c>
      <c r="O60" s="168" t="s">
        <v>140</v>
      </c>
      <c r="P60" s="138" t="s">
        <v>132</v>
      </c>
      <c r="Q60" s="169" t="s">
        <v>126</v>
      </c>
      <c r="R60" s="169" t="s">
        <v>133</v>
      </c>
      <c r="S60"/>
      <c r="T60"/>
      <c r="U60"/>
      <c r="V60"/>
      <c r="W60"/>
      <c r="X60"/>
    </row>
    <row r="61" spans="2:24" x14ac:dyDescent="0.25">
      <c r="B61" s="245" t="s">
        <v>98</v>
      </c>
      <c r="C61" s="246"/>
      <c r="D61" s="246"/>
      <c r="E61" s="247"/>
      <c r="F61" s="122"/>
      <c r="G61" s="127">
        <f>G27</f>
        <v>0</v>
      </c>
      <c r="H61"/>
      <c r="I61"/>
      <c r="J61" s="127">
        <f>J27</f>
        <v>0</v>
      </c>
      <c r="K61"/>
      <c r="L61"/>
      <c r="M61" s="170">
        <f>P57</f>
        <v>6486.9716339999986</v>
      </c>
      <c r="N61" s="171">
        <v>0.5</v>
      </c>
      <c r="O61" s="171">
        <v>0.08</v>
      </c>
      <c r="P61" s="172">
        <f>M61*N61*O61</f>
        <v>259.47886535999993</v>
      </c>
      <c r="Q61" s="78">
        <v>0.5</v>
      </c>
      <c r="R61" s="152">
        <f>P61*Q61</f>
        <v>129.73943267999996</v>
      </c>
      <c r="S61"/>
      <c r="T61"/>
      <c r="U61"/>
      <c r="V61"/>
      <c r="W61"/>
      <c r="X61"/>
    </row>
    <row r="62" spans="2:24" x14ac:dyDescent="0.25">
      <c r="B62" s="248" t="s">
        <v>99</v>
      </c>
      <c r="C62" s="248"/>
      <c r="D62" s="248"/>
      <c r="E62" s="248"/>
      <c r="F62" s="122"/>
      <c r="G62" s="127">
        <f>G37</f>
        <v>1275.12428</v>
      </c>
      <c r="H62"/>
      <c r="I62"/>
      <c r="J62" s="127">
        <f>J37</f>
        <v>1259.3484249999999</v>
      </c>
      <c r="K62"/>
      <c r="L62"/>
      <c r="M62"/>
      <c r="N62"/>
      <c r="O62"/>
      <c r="P62"/>
      <c r="Q62"/>
      <c r="R62"/>
      <c r="S62"/>
      <c r="T62"/>
      <c r="U62"/>
      <c r="V62"/>
      <c r="W62"/>
      <c r="X62"/>
    </row>
    <row r="63" spans="2:24" x14ac:dyDescent="0.25">
      <c r="B63" s="248" t="s">
        <v>108</v>
      </c>
      <c r="C63" s="248"/>
      <c r="D63" s="248"/>
      <c r="E63" s="248"/>
      <c r="F63" s="122"/>
      <c r="G63" s="127">
        <f>G46</f>
        <v>367.55984558967737</v>
      </c>
      <c r="H63"/>
      <c r="I63"/>
      <c r="J63" s="127">
        <f>J46</f>
        <v>367.55984558967737</v>
      </c>
      <c r="K63"/>
      <c r="L63"/>
      <c r="M63"/>
      <c r="N63"/>
      <c r="O63"/>
      <c r="P63"/>
      <c r="Q63"/>
      <c r="R63"/>
      <c r="S63"/>
      <c r="T63"/>
      <c r="U63"/>
      <c r="V63"/>
      <c r="W63"/>
      <c r="X63"/>
    </row>
    <row r="64" spans="2:24" x14ac:dyDescent="0.25">
      <c r="B64" s="248" t="s">
        <v>117</v>
      </c>
      <c r="C64" s="248"/>
      <c r="D64" s="248"/>
      <c r="E64" s="248"/>
      <c r="F64" s="122"/>
      <c r="G64" s="54">
        <f>G54</f>
        <v>20.193399424000003</v>
      </c>
      <c r="H64"/>
      <c r="I64"/>
      <c r="J64" s="54">
        <f>J54</f>
        <v>19.698797580000001</v>
      </c>
      <c r="K64"/>
      <c r="L64"/>
      <c r="M64"/>
      <c r="N64"/>
      <c r="O64"/>
      <c r="P64"/>
      <c r="Q64"/>
      <c r="R64"/>
      <c r="S64"/>
      <c r="T64"/>
      <c r="U64"/>
      <c r="V64"/>
      <c r="W64"/>
      <c r="X64"/>
    </row>
    <row r="65" spans="2:24" x14ac:dyDescent="0.25">
      <c r="B65" s="242" t="s">
        <v>116</v>
      </c>
      <c r="C65" s="243"/>
      <c r="D65" s="243"/>
      <c r="E65" s="243"/>
      <c r="F65" s="244"/>
      <c r="G65" s="55">
        <f>SUM(G57:G64)</f>
        <v>5638.8490250136765</v>
      </c>
      <c r="H65"/>
      <c r="I65"/>
      <c r="J65" s="55">
        <f>SUM(J57:J64)</f>
        <v>5622.5785681696771</v>
      </c>
      <c r="K65"/>
      <c r="L65"/>
      <c r="M65"/>
      <c r="N65"/>
      <c r="O65"/>
      <c r="P65"/>
      <c r="Q65"/>
      <c r="R65"/>
      <c r="S65"/>
      <c r="T65"/>
      <c r="U65"/>
      <c r="V65"/>
      <c r="W65"/>
      <c r="X65"/>
    </row>
    <row r="66" spans="2:24" x14ac:dyDescent="0.25"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</row>
    <row r="67" spans="2:24" x14ac:dyDescent="0.25">
      <c r="B67" t="s">
        <v>143</v>
      </c>
      <c r="C67"/>
      <c r="D67"/>
      <c r="E67"/>
      <c r="F67" t="s">
        <v>13</v>
      </c>
      <c r="G67" s="53">
        <f>G65*Dados!E56</f>
        <v>1537.8679159128217</v>
      </c>
      <c r="H67"/>
      <c r="I67"/>
      <c r="J67" s="53">
        <f>J65*Dados!E56</f>
        <v>1533.430518591731</v>
      </c>
      <c r="K67"/>
      <c r="L67"/>
      <c r="M67" s="123"/>
      <c r="N67"/>
      <c r="O67"/>
      <c r="P67"/>
      <c r="Q67"/>
      <c r="R67"/>
      <c r="S67"/>
      <c r="T67"/>
      <c r="U67"/>
      <c r="V67"/>
      <c r="W67"/>
      <c r="X67"/>
    </row>
    <row r="68" spans="2:24" x14ac:dyDescent="0.25">
      <c r="B68"/>
      <c r="C68"/>
      <c r="D68"/>
      <c r="E68" t="s">
        <v>144</v>
      </c>
      <c r="F68" t="s">
        <v>14</v>
      </c>
      <c r="G68" s="53">
        <f>(G65*Dados!E58)</f>
        <v>6279.6273233106858</v>
      </c>
      <c r="H68"/>
      <c r="I68"/>
      <c r="J68" s="53">
        <f>J65*Dados!E58</f>
        <v>6261.5079509162315</v>
      </c>
      <c r="K68"/>
      <c r="L68"/>
      <c r="M68"/>
      <c r="N68"/>
      <c r="O68"/>
      <c r="P68"/>
      <c r="Q68"/>
      <c r="R68"/>
      <c r="S68"/>
      <c r="T68"/>
      <c r="U68"/>
      <c r="V68"/>
      <c r="W68"/>
      <c r="X68"/>
    </row>
  </sheetData>
  <mergeCells count="85">
    <mergeCell ref="B3:F3"/>
    <mergeCell ref="B26:F26"/>
    <mergeCell ref="B25:F25"/>
    <mergeCell ref="M32:T33"/>
    <mergeCell ref="R28:T28"/>
    <mergeCell ref="B14:E14"/>
    <mergeCell ref="B5:E5"/>
    <mergeCell ref="B4:E4"/>
    <mergeCell ref="B6:E6"/>
    <mergeCell ref="B8:F8"/>
    <mergeCell ref="B9:E9"/>
    <mergeCell ref="B11:E11"/>
    <mergeCell ref="B12:E12"/>
    <mergeCell ref="B13:E13"/>
    <mergeCell ref="B17:F17"/>
    <mergeCell ref="B18:E18"/>
    <mergeCell ref="M59:O59"/>
    <mergeCell ref="B49:F49"/>
    <mergeCell ref="J50:J51"/>
    <mergeCell ref="M50:S51"/>
    <mergeCell ref="M54:P54"/>
    <mergeCell ref="M52:T52"/>
    <mergeCell ref="B57:E57"/>
    <mergeCell ref="G50:G51"/>
    <mergeCell ref="B53:E53"/>
    <mergeCell ref="B54:F54"/>
    <mergeCell ref="B56:F56"/>
    <mergeCell ref="V39:V40"/>
    <mergeCell ref="W39:W40"/>
    <mergeCell ref="X39:X40"/>
    <mergeCell ref="R39:R40"/>
    <mergeCell ref="S39:S40"/>
    <mergeCell ref="T39:T40"/>
    <mergeCell ref="U39:U40"/>
    <mergeCell ref="B19:E19"/>
    <mergeCell ref="B21:F21"/>
    <mergeCell ref="B23:F23"/>
    <mergeCell ref="B22:E22"/>
    <mergeCell ref="B41:D41"/>
    <mergeCell ref="E33:F33"/>
    <mergeCell ref="B34:D34"/>
    <mergeCell ref="E34:F34"/>
    <mergeCell ref="B35:D35"/>
    <mergeCell ref="E35:F35"/>
    <mergeCell ref="B36:F36"/>
    <mergeCell ref="B37:F37"/>
    <mergeCell ref="B24:F24"/>
    <mergeCell ref="B27:F27"/>
    <mergeCell ref="B39:F39"/>
    <mergeCell ref="B40:D40"/>
    <mergeCell ref="B29:F29"/>
    <mergeCell ref="E30:F30"/>
    <mergeCell ref="B31:D31"/>
    <mergeCell ref="E31:F31"/>
    <mergeCell ref="B32:D32"/>
    <mergeCell ref="E32:F32"/>
    <mergeCell ref="B30:D30"/>
    <mergeCell ref="B48:F48"/>
    <mergeCell ref="T42:T43"/>
    <mergeCell ref="Q45:S46"/>
    <mergeCell ref="Q39:Q40"/>
    <mergeCell ref="Q42:Q43"/>
    <mergeCell ref="R42:R43"/>
    <mergeCell ref="S42:S43"/>
    <mergeCell ref="P42:P43"/>
    <mergeCell ref="O42:O43"/>
    <mergeCell ref="N42:N43"/>
    <mergeCell ref="M42:M43"/>
    <mergeCell ref="M41:O41"/>
    <mergeCell ref="D2:G2"/>
    <mergeCell ref="B65:F65"/>
    <mergeCell ref="B61:E61"/>
    <mergeCell ref="B33:D33"/>
    <mergeCell ref="B58:E58"/>
    <mergeCell ref="B59:E59"/>
    <mergeCell ref="B60:E60"/>
    <mergeCell ref="B62:E62"/>
    <mergeCell ref="B63:E63"/>
    <mergeCell ref="B64:E64"/>
    <mergeCell ref="B50:F51"/>
    <mergeCell ref="B42:D42"/>
    <mergeCell ref="B43:D43"/>
    <mergeCell ref="B44:F44"/>
    <mergeCell ref="B45:D45"/>
    <mergeCell ref="B46:F46"/>
  </mergeCells>
  <pageMargins left="0.511811024" right="0.511811024" top="0.78740157499999996" bottom="0.78740157499999996" header="0.31496062000000002" footer="0.31496062000000002"/>
  <pageSetup paperSize="9" orientation="landscape" r:id="rId1"/>
  <headerFooter>
    <oddHeader>&amp;CMOTORISTA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M68"/>
  <sheetViews>
    <sheetView zoomScaleNormal="100" workbookViewId="0">
      <selection activeCell="K12" sqref="K12"/>
    </sheetView>
  </sheetViews>
  <sheetFormatPr defaultRowHeight="15.75" x14ac:dyDescent="0.25"/>
  <cols>
    <col min="1" max="3" width="9.140625" style="4"/>
    <col min="4" max="4" width="10.140625" style="4" customWidth="1"/>
    <col min="5" max="5" width="11.5703125" style="4" bestFit="1" customWidth="1"/>
    <col min="6" max="6" width="11.5703125" style="4" customWidth="1"/>
    <col min="7" max="7" width="9.140625" style="4"/>
    <col min="8" max="8" width="11.5703125" style="4" bestFit="1" customWidth="1"/>
    <col min="9" max="9" width="11.5703125" style="4" customWidth="1"/>
    <col min="10" max="10" width="9.140625" style="4"/>
    <col min="11" max="11" width="12.7109375" style="4" customWidth="1"/>
    <col min="12" max="16384" width="9.140625" style="4"/>
  </cols>
  <sheetData>
    <row r="2" spans="2:13" x14ac:dyDescent="0.25">
      <c r="B2" s="323" t="str">
        <f>Dados!B2</f>
        <v>MUNICÍPIO DE BARÃO DO TRIUNFO</v>
      </c>
      <c r="C2" s="323"/>
      <c r="D2" s="323"/>
      <c r="E2" s="323"/>
      <c r="F2" s="323"/>
      <c r="G2" s="323"/>
    </row>
    <row r="3" spans="2:13" x14ac:dyDescent="0.25">
      <c r="B3" s="328" t="s">
        <v>172</v>
      </c>
      <c r="C3" s="328"/>
      <c r="D3" s="328"/>
      <c r="E3" s="328"/>
      <c r="F3" s="328"/>
      <c r="G3" s="328"/>
    </row>
    <row r="4" spans="2:13" x14ac:dyDescent="0.25">
      <c r="B4" s="323" t="str">
        <f>Dados!C4</f>
        <v>Transporte escolar</v>
      </c>
      <c r="C4" s="323"/>
      <c r="D4" s="323"/>
      <c r="E4" s="323"/>
      <c r="F4" s="323"/>
      <c r="G4" s="323"/>
    </row>
    <row r="5" spans="2:13" x14ac:dyDescent="0.25">
      <c r="B5" s="3"/>
      <c r="C5" s="3"/>
      <c r="D5" s="3"/>
      <c r="E5" s="3"/>
      <c r="F5" s="3"/>
      <c r="G5" s="3"/>
    </row>
    <row r="6" spans="2:13" x14ac:dyDescent="0.25">
      <c r="B6" s="5" t="str">
        <f>Dados!B17</f>
        <v>Itinerário:</v>
      </c>
      <c r="C6" s="5"/>
    </row>
    <row r="7" spans="2:13" ht="15.75" customHeight="1" x14ac:dyDescent="0.25">
      <c r="B7" s="327" t="str">
        <f>Dados!B18</f>
        <v>ITEM 8- LINHA 8- ÁGUA FRIA/ADÃO VALTER</v>
      </c>
      <c r="C7" s="327"/>
      <c r="D7" s="327"/>
      <c r="E7" s="327"/>
      <c r="F7" s="327"/>
      <c r="G7" s="327"/>
    </row>
    <row r="8" spans="2:13" ht="30.75" customHeight="1" x14ac:dyDescent="0.25">
      <c r="B8" s="327"/>
      <c r="C8" s="327"/>
      <c r="D8" s="327"/>
      <c r="E8" s="327"/>
      <c r="F8" s="327"/>
      <c r="G8" s="327"/>
    </row>
    <row r="9" spans="2:13" ht="15.75" customHeight="1" x14ac:dyDescent="0.25">
      <c r="B9" s="324" t="s">
        <v>167</v>
      </c>
      <c r="C9" s="325"/>
      <c r="D9" s="325"/>
      <c r="E9" s="325"/>
      <c r="F9" s="89"/>
      <c r="G9" s="23"/>
      <c r="H9" s="90" t="s">
        <v>171</v>
      </c>
      <c r="I9" s="90"/>
      <c r="J9" s="105"/>
      <c r="K9" s="90" t="s">
        <v>170</v>
      </c>
    </row>
    <row r="10" spans="2:13" x14ac:dyDescent="0.25">
      <c r="B10" s="23"/>
      <c r="C10" s="23"/>
      <c r="D10" s="23"/>
      <c r="E10" s="90"/>
      <c r="F10" s="90"/>
      <c r="G10" s="23"/>
      <c r="H10" s="90"/>
      <c r="I10" s="90"/>
      <c r="K10" s="90"/>
    </row>
    <row r="11" spans="2:13" x14ac:dyDescent="0.25">
      <c r="B11" s="326" t="s">
        <v>145</v>
      </c>
      <c r="C11" s="326"/>
      <c r="D11" s="326"/>
      <c r="E11" s="3" t="s">
        <v>78</v>
      </c>
      <c r="F11" s="3"/>
      <c r="H11" s="3" t="s">
        <v>78</v>
      </c>
      <c r="I11" s="3"/>
      <c r="K11" s="3" t="s">
        <v>78</v>
      </c>
    </row>
    <row r="12" spans="2:13" x14ac:dyDescent="0.25">
      <c r="B12" s="337" t="s">
        <v>146</v>
      </c>
      <c r="C12" s="337"/>
      <c r="D12" s="337"/>
      <c r="E12" s="93">
        <f>(Dados!E76*Dados!E56)</f>
        <v>1677.2727272727282</v>
      </c>
      <c r="F12" s="98"/>
      <c r="G12" s="96"/>
      <c r="H12" s="93">
        <f t="shared" ref="H12:H17" si="0">E12</f>
        <v>1677.2727272727282</v>
      </c>
      <c r="I12" s="98"/>
      <c r="K12" s="94">
        <f t="shared" ref="K12:K17" si="1">E12</f>
        <v>1677.2727272727282</v>
      </c>
      <c r="M12" s="49"/>
    </row>
    <row r="13" spans="2:13" x14ac:dyDescent="0.25">
      <c r="B13" s="337" t="s">
        <v>147</v>
      </c>
      <c r="C13" s="337"/>
      <c r="D13" s="337"/>
      <c r="E13" s="93">
        <f>Dados!E77*Dados!E56</f>
        <v>1104.204545454546</v>
      </c>
      <c r="F13" s="98"/>
      <c r="G13" s="96"/>
      <c r="H13" s="93">
        <f t="shared" si="0"/>
        <v>1104.204545454546</v>
      </c>
      <c r="I13" s="98"/>
      <c r="K13" s="94">
        <f t="shared" si="1"/>
        <v>1104.204545454546</v>
      </c>
      <c r="M13" s="49"/>
    </row>
    <row r="14" spans="2:13" x14ac:dyDescent="0.25">
      <c r="B14" s="337" t="s">
        <v>148</v>
      </c>
      <c r="C14" s="337"/>
      <c r="D14" s="337"/>
      <c r="E14" s="93">
        <f>(((Dados!E23*1)/Dados!E66)*Dados!E75)*Dados!E11</f>
        <v>5805.333333333333</v>
      </c>
      <c r="F14" s="98"/>
      <c r="G14" s="96"/>
      <c r="H14" s="93">
        <f t="shared" si="0"/>
        <v>5805.333333333333</v>
      </c>
      <c r="I14" s="98"/>
      <c r="K14" s="94">
        <f t="shared" si="1"/>
        <v>5805.333333333333</v>
      </c>
    </row>
    <row r="15" spans="2:13" x14ac:dyDescent="0.25">
      <c r="B15" s="337" t="s">
        <v>49</v>
      </c>
      <c r="C15" s="337"/>
      <c r="D15" s="337"/>
      <c r="E15" s="93">
        <f>E14*Dados!E84</f>
        <v>580.5333333333333</v>
      </c>
      <c r="F15" s="98"/>
      <c r="G15" s="96"/>
      <c r="H15" s="93">
        <f t="shared" si="0"/>
        <v>580.5333333333333</v>
      </c>
      <c r="I15" s="98"/>
      <c r="K15" s="94">
        <f t="shared" si="1"/>
        <v>580.5333333333333</v>
      </c>
    </row>
    <row r="16" spans="2:13" x14ac:dyDescent="0.25">
      <c r="B16" s="337" t="s">
        <v>149</v>
      </c>
      <c r="C16" s="337"/>
      <c r="D16" s="337"/>
      <c r="E16" s="93">
        <f>E14*Dados!E84</f>
        <v>580.5333333333333</v>
      </c>
      <c r="F16" s="98"/>
      <c r="G16" s="96"/>
      <c r="H16" s="93">
        <f t="shared" si="0"/>
        <v>580.5333333333333</v>
      </c>
      <c r="I16" s="98"/>
      <c r="K16" s="94">
        <f t="shared" si="1"/>
        <v>580.5333333333333</v>
      </c>
    </row>
    <row r="17" spans="2:11" x14ac:dyDescent="0.25">
      <c r="B17" s="337" t="s">
        <v>53</v>
      </c>
      <c r="C17" s="337"/>
      <c r="D17" s="337"/>
      <c r="E17" s="93">
        <f>(((Dados!E92*Dados!C92)/Dados!D92)*Dados!E24)</f>
        <v>2560.5663999999997</v>
      </c>
      <c r="F17" s="98"/>
      <c r="G17" s="96"/>
      <c r="H17" s="93">
        <f t="shared" si="0"/>
        <v>2560.5663999999997</v>
      </c>
      <c r="I17" s="98"/>
      <c r="K17" s="94">
        <f t="shared" si="1"/>
        <v>2560.5663999999997</v>
      </c>
    </row>
    <row r="18" spans="2:11" x14ac:dyDescent="0.25">
      <c r="B18" s="331" t="s">
        <v>97</v>
      </c>
      <c r="C18" s="331"/>
      <c r="D18" s="331"/>
      <c r="E18" s="92">
        <f>SUM(E12:E17)</f>
        <v>12308.443672727273</v>
      </c>
      <c r="F18" s="100"/>
      <c r="G18" s="96"/>
      <c r="H18" s="92">
        <f>SUM(H12:H17)</f>
        <v>12308.443672727273</v>
      </c>
      <c r="I18" s="100"/>
      <c r="K18" s="95">
        <f>SUM(K12:K17)</f>
        <v>12308.443672727273</v>
      </c>
    </row>
    <row r="19" spans="2:11" x14ac:dyDescent="0.25">
      <c r="B19" s="338" t="s">
        <v>150</v>
      </c>
      <c r="C19" s="338"/>
      <c r="D19" s="338"/>
      <c r="E19" s="97" t="s">
        <v>78</v>
      </c>
      <c r="F19" s="97"/>
      <c r="G19" s="96"/>
      <c r="H19" s="97" t="s">
        <v>78</v>
      </c>
      <c r="I19" s="97"/>
      <c r="K19" s="97" t="s">
        <v>78</v>
      </c>
    </row>
    <row r="20" spans="2:11" x14ac:dyDescent="0.25">
      <c r="B20" s="339" t="s">
        <v>151</v>
      </c>
      <c r="C20" s="339"/>
      <c r="D20" s="339"/>
      <c r="E20" s="93">
        <f>Motorista!G67</f>
        <v>1537.8679159128217</v>
      </c>
      <c r="F20" s="98"/>
      <c r="G20" s="96"/>
      <c r="H20" s="39">
        <f>E20</f>
        <v>1537.8679159128217</v>
      </c>
      <c r="I20" s="106"/>
      <c r="K20" s="39">
        <f>Motorista!J67</f>
        <v>1533.430518591731</v>
      </c>
    </row>
    <row r="21" spans="2:11" x14ac:dyDescent="0.25">
      <c r="B21" s="330" t="s">
        <v>97</v>
      </c>
      <c r="C21" s="330"/>
      <c r="D21" s="330"/>
      <c r="E21" s="92">
        <f>SUM(E20:E20)</f>
        <v>1537.8679159128217</v>
      </c>
      <c r="F21" s="100"/>
      <c r="G21" s="96"/>
      <c r="H21" s="56">
        <f>SUM(H20:H20)</f>
        <v>1537.8679159128217</v>
      </c>
      <c r="I21" s="104"/>
      <c r="K21" s="56">
        <f>SUM(K20:K20)</f>
        <v>1533.430518591731</v>
      </c>
    </row>
    <row r="22" spans="2:11" x14ac:dyDescent="0.25">
      <c r="B22" s="326" t="s">
        <v>72</v>
      </c>
      <c r="C22" s="326"/>
      <c r="D22" s="326"/>
      <c r="E22" s="97"/>
      <c r="F22" s="97"/>
      <c r="G22" s="96"/>
      <c r="H22" s="97"/>
      <c r="I22" s="97"/>
      <c r="K22" s="97"/>
    </row>
    <row r="23" spans="2:11" x14ac:dyDescent="0.25">
      <c r="B23" s="343" t="s">
        <v>176</v>
      </c>
      <c r="C23" s="343"/>
      <c r="D23" s="343"/>
      <c r="E23" s="97" t="s">
        <v>78</v>
      </c>
      <c r="F23" s="97"/>
      <c r="G23" s="96"/>
      <c r="H23" s="97" t="s">
        <v>78</v>
      </c>
      <c r="I23" s="97"/>
      <c r="K23" s="97" t="s">
        <v>78</v>
      </c>
    </row>
    <row r="24" spans="2:11" x14ac:dyDescent="0.25">
      <c r="B24" s="337" t="s">
        <v>38</v>
      </c>
      <c r="C24" s="337"/>
      <c r="D24" s="337"/>
      <c r="E24" s="93">
        <f>(Dados!E70/12)*Dados!E56</f>
        <v>1.8181818181818192</v>
      </c>
      <c r="F24" s="98"/>
      <c r="G24" s="96"/>
      <c r="H24" s="94">
        <f t="shared" ref="H24:H29" si="2">E24</f>
        <v>1.8181818181818192</v>
      </c>
      <c r="I24" s="106"/>
      <c r="K24" s="94">
        <f t="shared" ref="K24:K29" si="3">E24</f>
        <v>1.8181818181818192</v>
      </c>
    </row>
    <row r="25" spans="2:11" x14ac:dyDescent="0.25">
      <c r="B25" s="337" t="s">
        <v>40</v>
      </c>
      <c r="C25" s="337"/>
      <c r="D25" s="337"/>
      <c r="E25" s="93">
        <f>(Dados!E72/12)*Dados!E56</f>
        <v>3.5777272727272744</v>
      </c>
      <c r="F25" s="98"/>
      <c r="G25" s="96"/>
      <c r="H25" s="94">
        <f t="shared" si="2"/>
        <v>3.5777272727272744</v>
      </c>
      <c r="I25" s="106"/>
      <c r="K25" s="94">
        <f t="shared" si="3"/>
        <v>3.5777272727272744</v>
      </c>
    </row>
    <row r="26" spans="2:11" x14ac:dyDescent="0.25">
      <c r="B26" s="337" t="s">
        <v>39</v>
      </c>
      <c r="C26" s="337"/>
      <c r="D26" s="337"/>
      <c r="E26" s="93"/>
      <c r="F26" s="98"/>
      <c r="G26" s="96"/>
      <c r="H26" s="94">
        <f t="shared" si="2"/>
        <v>0</v>
      </c>
      <c r="I26" s="106"/>
      <c r="K26" s="94">
        <f t="shared" si="3"/>
        <v>0</v>
      </c>
    </row>
    <row r="27" spans="2:11" x14ac:dyDescent="0.25">
      <c r="B27" s="337" t="s">
        <v>152</v>
      </c>
      <c r="C27" s="337"/>
      <c r="D27" s="337"/>
      <c r="E27" s="93">
        <f>(Dados!E73/12)*Dados!E56</f>
        <v>5.0000000000000027</v>
      </c>
      <c r="F27" s="98"/>
      <c r="G27" s="96"/>
      <c r="H27" s="94">
        <f t="shared" si="2"/>
        <v>5.0000000000000027</v>
      </c>
      <c r="I27" s="106"/>
      <c r="K27" s="94">
        <f t="shared" si="3"/>
        <v>5.0000000000000027</v>
      </c>
    </row>
    <row r="28" spans="2:11" x14ac:dyDescent="0.25">
      <c r="B28" s="337" t="s">
        <v>153</v>
      </c>
      <c r="C28" s="337"/>
      <c r="D28" s="337"/>
      <c r="E28" s="93">
        <f>(Dados!E74/12)*Dados!E56</f>
        <v>14.545454545454554</v>
      </c>
      <c r="F28" s="98"/>
      <c r="G28" s="96"/>
      <c r="H28" s="94">
        <f t="shared" si="2"/>
        <v>14.545454545454554</v>
      </c>
      <c r="I28" s="106"/>
      <c r="K28" s="94">
        <f t="shared" si="3"/>
        <v>14.545454545454554</v>
      </c>
    </row>
    <row r="29" spans="2:11" x14ac:dyDescent="0.25">
      <c r="B29" s="337" t="s">
        <v>154</v>
      </c>
      <c r="C29" s="337"/>
      <c r="D29" s="337"/>
      <c r="E29" s="93">
        <v>0</v>
      </c>
      <c r="F29" s="98"/>
      <c r="G29" s="96"/>
      <c r="H29" s="94">
        <f t="shared" si="2"/>
        <v>0</v>
      </c>
      <c r="I29" s="106"/>
      <c r="K29" s="94">
        <f t="shared" si="3"/>
        <v>0</v>
      </c>
    </row>
    <row r="30" spans="2:11" x14ac:dyDescent="0.25">
      <c r="B30" s="342" t="s">
        <v>155</v>
      </c>
      <c r="C30" s="342"/>
      <c r="D30" s="342"/>
      <c r="E30" s="93"/>
      <c r="F30" s="98"/>
      <c r="G30" s="96"/>
      <c r="H30" s="94"/>
      <c r="I30" s="106"/>
      <c r="K30" s="94"/>
    </row>
    <row r="31" spans="2:11" x14ac:dyDescent="0.25">
      <c r="B31" s="337" t="s">
        <v>155</v>
      </c>
      <c r="C31" s="337"/>
      <c r="D31" s="337"/>
      <c r="E31" s="93">
        <f>((E18+E21)*Dados!E111)*Dados!E58</f>
        <v>770.98780436746006</v>
      </c>
      <c r="F31" s="98"/>
      <c r="G31" s="96"/>
      <c r="H31" s="94">
        <f>((E18+E21)*Dados!E111)*Dados!E58</f>
        <v>770.98780436746006</v>
      </c>
      <c r="I31" s="106"/>
      <c r="K31" s="94">
        <f>((K18+K21)*Dados!E111)*Dados!E56</f>
        <v>188.75282988162289</v>
      </c>
    </row>
    <row r="32" spans="2:11" x14ac:dyDescent="0.25">
      <c r="B32" s="330" t="s">
        <v>97</v>
      </c>
      <c r="C32" s="330"/>
      <c r="D32" s="330"/>
      <c r="E32" s="92">
        <f>SUM(E24:E31)</f>
        <v>795.92916800382375</v>
      </c>
      <c r="F32" s="100"/>
      <c r="G32" s="96"/>
      <c r="H32" s="95">
        <f>SUM(H24:H31)</f>
        <v>795.92916800382375</v>
      </c>
      <c r="I32" s="104"/>
      <c r="K32" s="95">
        <f>SUM(K24:K31)</f>
        <v>213.69419351798655</v>
      </c>
    </row>
    <row r="33" spans="2:13" x14ac:dyDescent="0.25">
      <c r="B33" s="5" t="s">
        <v>74</v>
      </c>
      <c r="E33" s="97" t="s">
        <v>78</v>
      </c>
      <c r="F33" s="97"/>
      <c r="G33" s="96"/>
      <c r="H33" s="97" t="s">
        <v>78</v>
      </c>
      <c r="K33" s="97" t="s">
        <v>78</v>
      </c>
    </row>
    <row r="34" spans="2:13" x14ac:dyDescent="0.25">
      <c r="B34" s="334"/>
      <c r="C34" s="335"/>
      <c r="D34" s="336"/>
      <c r="E34" s="99">
        <f>(E32+E21+E18)*Dados!E114</f>
        <v>2196.3361134965876</v>
      </c>
      <c r="F34" s="98"/>
      <c r="G34" s="96"/>
      <c r="H34" s="94">
        <f>E34</f>
        <v>2196.3361134965876</v>
      </c>
      <c r="I34" s="106"/>
      <c r="K34" s="94">
        <f>(K32+K21+K18)*Dados!E114</f>
        <v>2108.3352577255487</v>
      </c>
    </row>
    <row r="35" spans="2:13" x14ac:dyDescent="0.25">
      <c r="B35" s="341" t="s">
        <v>97</v>
      </c>
      <c r="C35" s="341"/>
      <c r="D35" s="341"/>
      <c r="E35" s="92">
        <f>SUM(E34)</f>
        <v>2196.3361134965876</v>
      </c>
      <c r="F35" s="100"/>
      <c r="G35" s="96"/>
      <c r="H35" s="95">
        <f>SUM(H34)</f>
        <v>2196.3361134965876</v>
      </c>
      <c r="I35" s="104"/>
      <c r="K35" s="95">
        <f>SUM(K34)</f>
        <v>2108.3352577255487</v>
      </c>
    </row>
    <row r="36" spans="2:13" x14ac:dyDescent="0.25">
      <c r="B36" s="330" t="s">
        <v>97</v>
      </c>
      <c r="C36" s="330"/>
      <c r="D36" s="330"/>
      <c r="E36" s="92">
        <f>E35+E32+E21+E18</f>
        <v>16838.576870140507</v>
      </c>
      <c r="F36" s="100"/>
      <c r="G36" s="96"/>
      <c r="H36" s="95">
        <f>H35+H32+H21+H18</f>
        <v>16838.576870140507</v>
      </c>
      <c r="I36" s="104"/>
      <c r="K36" s="95">
        <f>K35+K32+K21+K18</f>
        <v>16163.90364256254</v>
      </c>
    </row>
    <row r="37" spans="2:13" x14ac:dyDescent="0.25">
      <c r="B37" s="332" t="s">
        <v>161</v>
      </c>
      <c r="C37" s="332"/>
      <c r="D37" s="332"/>
      <c r="E37" s="97" t="s">
        <v>78</v>
      </c>
      <c r="F37" s="96"/>
      <c r="G37" s="96"/>
      <c r="H37" s="97" t="s">
        <v>78</v>
      </c>
      <c r="K37" s="97" t="s">
        <v>78</v>
      </c>
    </row>
    <row r="38" spans="2:13" x14ac:dyDescent="0.25">
      <c r="B38" s="333" t="s">
        <v>156</v>
      </c>
      <c r="C38" s="333"/>
      <c r="D38" s="333"/>
      <c r="E38" s="93">
        <f>E36/((100-14.25)/100)</f>
        <v>19636.824338356277</v>
      </c>
      <c r="F38" s="98"/>
      <c r="G38" s="93"/>
      <c r="H38" s="93">
        <f>H36/((100-8.65)/100)</f>
        <v>18433.034340602637</v>
      </c>
      <c r="J38" s="15"/>
      <c r="K38" s="93">
        <f>K36/((100-7.99)/100)</f>
        <v>17567.550964637037</v>
      </c>
    </row>
    <row r="39" spans="2:13" x14ac:dyDescent="0.25">
      <c r="B39" s="101" t="s">
        <v>157</v>
      </c>
      <c r="C39" s="102"/>
      <c r="D39" s="103">
        <f>Dados!C118</f>
        <v>7.5999999999999998E-2</v>
      </c>
      <c r="E39" s="93">
        <f>E38*D39</f>
        <v>1492.398649715077</v>
      </c>
      <c r="F39" s="98"/>
      <c r="G39" s="107">
        <f>Dados!D118</f>
        <v>0.03</v>
      </c>
      <c r="H39" s="93">
        <f>H38*G39</f>
        <v>552.99103021807912</v>
      </c>
      <c r="J39" s="48">
        <f>Dados!E118</f>
        <v>2.4199999999999999E-2</v>
      </c>
      <c r="K39" s="93">
        <f>K38*J39</f>
        <v>425.13473334421627</v>
      </c>
    </row>
    <row r="40" spans="2:13" x14ac:dyDescent="0.25">
      <c r="B40" s="101" t="s">
        <v>158</v>
      </c>
      <c r="C40" s="102"/>
      <c r="D40" s="103">
        <f>Dados!C119</f>
        <v>1.6500000000000001E-2</v>
      </c>
      <c r="E40" s="93">
        <f>E38*D40</f>
        <v>324.00760158287858</v>
      </c>
      <c r="F40" s="98"/>
      <c r="G40" s="107">
        <f>Dados!D119</f>
        <v>6.4999999999999997E-3</v>
      </c>
      <c r="H40" s="93">
        <f>H38*G40</f>
        <v>119.81472321391713</v>
      </c>
      <c r="J40" s="48">
        <f>Dados!E119</f>
        <v>5.7000000000000002E-3</v>
      </c>
      <c r="K40" s="93">
        <f>K38*J40</f>
        <v>100.13504049843111</v>
      </c>
    </row>
    <row r="41" spans="2:13" x14ac:dyDescent="0.25">
      <c r="B41" s="101" t="s">
        <v>159</v>
      </c>
      <c r="C41" s="102"/>
      <c r="D41" s="103">
        <f>Dados!C120</f>
        <v>0.05</v>
      </c>
      <c r="E41" s="93">
        <f>E38*D41</f>
        <v>981.84121691781388</v>
      </c>
      <c r="F41" s="98"/>
      <c r="G41" s="107">
        <f>Dados!D120</f>
        <v>0.05</v>
      </c>
      <c r="H41" s="93">
        <f>H38*G41</f>
        <v>921.65171703013186</v>
      </c>
      <c r="J41" s="109">
        <f>Dados!E120</f>
        <v>0.05</v>
      </c>
      <c r="K41" s="93">
        <f>K38*J41</f>
        <v>878.37754823185196</v>
      </c>
    </row>
    <row r="42" spans="2:13" x14ac:dyDescent="0.25">
      <c r="B42" s="340" t="s">
        <v>160</v>
      </c>
      <c r="C42" s="340"/>
      <c r="D42" s="340"/>
      <c r="E42" s="92">
        <f>SUM(E39:E41)</f>
        <v>2798.2474682157695</v>
      </c>
      <c r="F42" s="100"/>
      <c r="G42" s="108">
        <f>SUM(G39:G41)</f>
        <v>8.6499999999999994E-2</v>
      </c>
      <c r="H42" s="95">
        <f>SUM(H39:H41)</f>
        <v>1594.4574704621282</v>
      </c>
      <c r="I42" s="5"/>
      <c r="J42" s="110">
        <f>SUM(J39:J41)</f>
        <v>7.9899999999999999E-2</v>
      </c>
      <c r="K42" s="92">
        <f>SUM(K39:K41)</f>
        <v>1403.6473220744992</v>
      </c>
    </row>
    <row r="43" spans="2:13" x14ac:dyDescent="0.25">
      <c r="B43" s="57"/>
      <c r="E43" s="97" t="s">
        <v>78</v>
      </c>
      <c r="F43" s="96"/>
      <c r="G43" s="96"/>
      <c r="H43" s="97" t="s">
        <v>78</v>
      </c>
      <c r="K43" s="97" t="s">
        <v>78</v>
      </c>
    </row>
    <row r="44" spans="2:13" x14ac:dyDescent="0.25">
      <c r="B44" s="329" t="s">
        <v>116</v>
      </c>
      <c r="C44" s="329"/>
      <c r="D44" s="329"/>
      <c r="E44" s="56">
        <f>E42+E36</f>
        <v>19636.824338356277</v>
      </c>
      <c r="F44" s="104"/>
      <c r="H44" s="95">
        <f>H36+H42</f>
        <v>18433.034340602637</v>
      </c>
      <c r="I44" s="5"/>
      <c r="J44" s="5"/>
      <c r="K44" s="95">
        <f>K42+K36</f>
        <v>17567.550964637041</v>
      </c>
    </row>
    <row r="45" spans="2:13" x14ac:dyDescent="0.25">
      <c r="D45" s="5" t="s">
        <v>168</v>
      </c>
      <c r="E45" s="56">
        <f>E44/Dados!E24</f>
        <v>7.0131515494129557</v>
      </c>
      <c r="F45" s="104"/>
      <c r="H45" s="95">
        <f>H44/Dados!E24</f>
        <v>6.5832265502152278</v>
      </c>
      <c r="K45" s="95">
        <f>K44/Dados!E24</f>
        <v>6.2741253445132292</v>
      </c>
      <c r="M45" s="106"/>
    </row>
    <row r="46" spans="2:13" x14ac:dyDescent="0.25">
      <c r="E46" s="68"/>
    </row>
    <row r="47" spans="2:13" x14ac:dyDescent="0.25">
      <c r="E47" s="68"/>
    </row>
    <row r="48" spans="2:13" x14ac:dyDescent="0.25">
      <c r="E48" s="68"/>
    </row>
    <row r="49" spans="5:5" x14ac:dyDescent="0.25">
      <c r="E49" s="68"/>
    </row>
    <row r="50" spans="5:5" x14ac:dyDescent="0.25">
      <c r="E50" s="68"/>
    </row>
    <row r="51" spans="5:5" x14ac:dyDescent="0.25">
      <c r="E51" s="68"/>
    </row>
    <row r="52" spans="5:5" x14ac:dyDescent="0.25">
      <c r="E52" s="68"/>
    </row>
    <row r="53" spans="5:5" x14ac:dyDescent="0.25">
      <c r="E53" s="68"/>
    </row>
    <row r="54" spans="5:5" x14ac:dyDescent="0.25">
      <c r="E54" s="68"/>
    </row>
    <row r="55" spans="5:5" x14ac:dyDescent="0.25">
      <c r="E55" s="68"/>
    </row>
    <row r="56" spans="5:5" x14ac:dyDescent="0.25">
      <c r="E56" s="68"/>
    </row>
    <row r="57" spans="5:5" x14ac:dyDescent="0.25">
      <c r="E57" s="68"/>
    </row>
    <row r="58" spans="5:5" x14ac:dyDescent="0.25">
      <c r="E58" s="68"/>
    </row>
    <row r="59" spans="5:5" x14ac:dyDescent="0.25">
      <c r="E59" s="68"/>
    </row>
    <row r="60" spans="5:5" x14ac:dyDescent="0.25">
      <c r="E60" s="68"/>
    </row>
    <row r="61" spans="5:5" x14ac:dyDescent="0.25">
      <c r="E61" s="68"/>
    </row>
    <row r="62" spans="5:5" x14ac:dyDescent="0.25">
      <c r="E62" s="68"/>
    </row>
    <row r="63" spans="5:5" x14ac:dyDescent="0.25">
      <c r="E63" s="68"/>
    </row>
    <row r="64" spans="5:5" x14ac:dyDescent="0.25">
      <c r="E64" s="68"/>
    </row>
    <row r="65" spans="5:5" x14ac:dyDescent="0.25">
      <c r="E65" s="68"/>
    </row>
    <row r="66" spans="5:5" x14ac:dyDescent="0.25">
      <c r="E66" s="68"/>
    </row>
    <row r="67" spans="5:5" x14ac:dyDescent="0.25">
      <c r="E67" s="68"/>
    </row>
    <row r="68" spans="5:5" x14ac:dyDescent="0.25">
      <c r="E68" s="68"/>
    </row>
  </sheetData>
  <sheetProtection algorithmName="SHA-512" hashValue="213FY+dfTeSUEqN3wwRtcOZNtLf+wAca9wUN+mwyzY5oZ8sLAX7czad4qYib+VIxggCcs4tKrBz0cX9DlbPsJA==" saltValue="zifzysTII03NsoDLXpDjMg==" spinCount="100000" sheet="1" formatCells="0" formatColumns="0" formatRows="0" insertColumns="0" insertRows="0" insertHyperlinks="0" deleteColumns="0" deleteRows="0" sort="0" autoFilter="0" pivotTables="0"/>
  <mergeCells count="34">
    <mergeCell ref="B12:D12"/>
    <mergeCell ref="B13:D13"/>
    <mergeCell ref="B14:D14"/>
    <mergeCell ref="B15:D15"/>
    <mergeCell ref="B16:D16"/>
    <mergeCell ref="B35:D35"/>
    <mergeCell ref="B22:D22"/>
    <mergeCell ref="B24:D24"/>
    <mergeCell ref="B25:D25"/>
    <mergeCell ref="B17:D17"/>
    <mergeCell ref="B30:D30"/>
    <mergeCell ref="B23:D23"/>
    <mergeCell ref="B44:D44"/>
    <mergeCell ref="B36:D36"/>
    <mergeCell ref="B18:D18"/>
    <mergeCell ref="B21:D21"/>
    <mergeCell ref="B32:D32"/>
    <mergeCell ref="B37:D37"/>
    <mergeCell ref="B38:D38"/>
    <mergeCell ref="B34:D34"/>
    <mergeCell ref="B26:D26"/>
    <mergeCell ref="B27:D27"/>
    <mergeCell ref="B28:D28"/>
    <mergeCell ref="B29:D29"/>
    <mergeCell ref="B31:D31"/>
    <mergeCell ref="B19:D19"/>
    <mergeCell ref="B20:D20"/>
    <mergeCell ref="B42:D42"/>
    <mergeCell ref="B2:G2"/>
    <mergeCell ref="B4:G4"/>
    <mergeCell ref="B9:E9"/>
    <mergeCell ref="B11:D11"/>
    <mergeCell ref="B7:G8"/>
    <mergeCell ref="B3:G3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Dados</vt:lpstr>
      <vt:lpstr>Motorista</vt:lpstr>
      <vt:lpstr>Custo total</vt:lpstr>
      <vt:lpstr>Dados!Area_de_impressao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Margere</dc:creator>
  <cp:lastModifiedBy>Prefeitura de Barão do Triunfo</cp:lastModifiedBy>
  <cp:lastPrinted>2022-07-11T12:18:16Z</cp:lastPrinted>
  <dcterms:created xsi:type="dcterms:W3CDTF">2017-01-21T11:53:29Z</dcterms:created>
  <dcterms:modified xsi:type="dcterms:W3CDTF">2023-01-30T15:47:17Z</dcterms:modified>
</cp:coreProperties>
</file>