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Área de Trabalho\Planilha TR\"/>
    </mc:Choice>
  </mc:AlternateContent>
  <xr:revisionPtr revIDLastSave="0" documentId="13_ncr:1_{052AF894-58B6-4F6C-BD4D-B176750BF2D0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91029"/>
</workbook>
</file>

<file path=xl/calcChain.xml><?xml version="1.0" encoding="utf-8"?>
<calcChain xmlns="http://schemas.openxmlformats.org/spreadsheetml/2006/main">
  <c r="D37" i="1" l="1"/>
  <c r="D44" i="1" s="1"/>
  <c r="C38" i="1"/>
  <c r="E31" i="1" l="1"/>
  <c r="C45" i="1" s="1"/>
  <c r="E14" i="4" l="1"/>
  <c r="E16" i="4" s="1"/>
  <c r="G11" i="3"/>
  <c r="E51" i="1"/>
  <c r="D45" i="1"/>
  <c r="E45" i="1" s="1"/>
  <c r="D36" i="1"/>
  <c r="D39" i="1" s="1"/>
  <c r="E15" i="4" l="1"/>
  <c r="D43" i="1"/>
  <c r="D46" i="1" s="1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<sst xmlns="http://schemas.openxmlformats.org/spreadsheetml/2006/main" count="286" uniqueCount="192">
  <si>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</si>
  <si>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</si>
  <si>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</si>
  <si>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</si>
  <si>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</si>
  <si>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</si>
  <si>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</si>
  <si>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</si>
  <si>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</si>
  <si>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</si>
  <si>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</si>
  <si>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</si>
  <si>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</si>
  <si>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</si>
  <si>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</si>
  <si>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</si>
  <si>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</si>
  <si>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</si>
  <si>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</si>
  <si>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</si>
  <si>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</si>
  <si>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</si>
  <si>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</si>
  <si>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</si>
  <si>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</si>
  <si>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</si>
  <si>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</si>
  <si>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</si>
  <si>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</si>
  <si>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ÔNIBUS</t>
  </si>
  <si>
    <t>Capacidade mínima</t>
  </si>
  <si>
    <t>Combustível</t>
  </si>
  <si>
    <t>Diesel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</si>
  <si>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</si>
  <si>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</si>
  <si>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</si>
  <si>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</si>
  <si>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</si>
  <si>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</si>
  <si>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</si>
  <si>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</si>
  <si>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</si>
  <si>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</si>
  <si>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</si>
  <si>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</si>
  <si>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</si>
  <si>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</si>
  <si>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</si>
  <si>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</si>
  <si>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</si>
  <si>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</si>
  <si>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</si>
  <si>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</si>
  <si>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</si>
  <si>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</si>
  <si>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</si>
  <si>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</si>
  <si>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</si>
  <si>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</si>
  <si>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</si>
  <si>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</si>
  <si>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</si>
  <si>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</si>
  <si>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</si>
  <si>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</si>
  <si>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</si>
  <si>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</si>
  <si>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</si>
  <si>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</si>
  <si>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</si>
  <si>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</si>
  <si>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</si>
  <si>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</si>
  <si>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</si>
  <si>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</si>
  <si>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</si>
  <si>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</si>
  <si>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</si>
  <si>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</si>
  <si>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</si>
  <si>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</si>
  <si>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</si>
  <si>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</si>
  <si>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</si>
  <si>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</si>
  <si>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</si>
  <si>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</si>
  <si>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</si>
  <si>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</si>
  <si>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</si>
  <si>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</si>
  <si>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</si>
  <si>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</si>
  <si>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</si>
  <si>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</si>
  <si>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</si>
  <si>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</si>
  <si>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</si>
  <si>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</si>
  <si>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</si>
  <si>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</si>
  <si>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</si>
  <si>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</si>
  <si>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</si>
  <si>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</si>
  <si>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</si>
  <si>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</si>
  <si>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</si>
  <si>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</si>
  <si>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</si>
  <si>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</si>
  <si>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</si>
  <si>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</si>
  <si>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</si>
  <si>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</si>
  <si>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</si>
  <si>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</si>
  <si>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</si>
  <si>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</si>
  <si>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</si>
  <si>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</si>
  <si>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</si>
  <si>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</si>
  <si>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</si>
  <si>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</si>
  <si>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</si>
  <si>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</si>
  <si>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</si>
  <si>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</si>
  <si>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</si>
  <si>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</si>
  <si>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</si>
  <si>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</si>
  <si>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</si>
  <si>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</si>
  <si>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</si>
  <si>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</si>
  <si>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</si>
  <si>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</si>
  <si>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</si>
  <si>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</si>
  <si>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</si>
  <si>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</si>
  <si>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</si>
  <si>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</si>
  <si>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</si>
  <si>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</si>
  <si>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</si>
  <si>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</si>
  <si>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</si>
  <si>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</si>
  <si>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</si>
  <si>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</si>
  <si>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</si>
  <si>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</si>
  <si>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</si>
  <si>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</si>
  <si>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</si>
  <si>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</si>
  <si>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</si>
  <si>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</si>
  <si>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</si>
  <si>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</si>
  <si>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</si>
  <si>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</si>
  <si>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</si>
  <si>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</si>
  <si>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</si>
  <si>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</si>
  <si>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</si>
  <si>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</si>
  <si>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</si>
  <si>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</si>
  <si>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</si>
  <si>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</si>
  <si>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</si>
  <si>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</si>
  <si>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</si>
  <si>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</si>
  <si>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</si>
  <si>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</si>
  <si>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</si>
  <si>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</si>
  <si>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</si>
  <si>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</si>
  <si>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</si>
  <si>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</si>
  <si>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</si>
  <si>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DADOS DA CONTRATAÇÃO: LINHA 13</t>
  </si>
  <si>
    <t>Manhã/Tarde</t>
  </si>
  <si>
    <t>ITEM 7- LINHA 7- PASSO GRANDE</t>
  </si>
  <si>
    <t>RS001530/2022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</si>
</sst>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39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4" applyFont="1" applyBorder="1"/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120"/>
  <sheetViews>
    <sheetView view="pageBreakPreview" topLeftCell="A50" zoomScaleNormal="100" zoomScaleSheetLayoutView="100" workbookViewId="0">
      <selection activeCell="H67" sqref="H67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25" t="s">
        <v>177</v>
      </c>
      <c r="C2" s="225"/>
      <c r="D2" s="225"/>
      <c r="E2" s="225"/>
      <c r="F2" s="225"/>
      <c r="G2" s="225"/>
      <c r="H2" s="225"/>
      <c r="I2" s="121"/>
    </row>
    <row r="3" spans="2:9" x14ac:dyDescent="0.25">
      <c r="B3" s="181" t="s">
        <v>178</v>
      </c>
      <c r="C3" s="182"/>
      <c r="D3" s="182"/>
      <c r="E3" s="182"/>
      <c r="F3" s="182"/>
      <c r="G3" s="182"/>
      <c r="H3" s="182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46" t="s">
        <v>188</v>
      </c>
      <c r="C6" s="46"/>
      <c r="D6" s="46">
        <v>7</v>
      </c>
      <c r="E6" s="46"/>
      <c r="F6" s="46"/>
      <c r="G6" s="46"/>
      <c r="H6" s="46"/>
      <c r="I6" s="46"/>
    </row>
    <row r="8" spans="2:9" x14ac:dyDescent="0.25">
      <c r="B8" s="202" t="s">
        <v>4</v>
      </c>
      <c r="C8" s="202"/>
      <c r="D8" s="202"/>
      <c r="E8" s="202"/>
    </row>
    <row r="9" spans="2:9" x14ac:dyDescent="0.25">
      <c r="B9" s="186" t="s">
        <v>1</v>
      </c>
      <c r="C9" s="186"/>
      <c r="D9" s="186"/>
      <c r="E9" s="6">
        <v>200</v>
      </c>
    </row>
    <row r="10" spans="2:9" x14ac:dyDescent="0.25">
      <c r="B10" s="186" t="s">
        <v>2</v>
      </c>
      <c r="C10" s="186"/>
      <c r="D10" s="186"/>
      <c r="E10" s="7">
        <v>11</v>
      </c>
    </row>
    <row r="11" spans="2:9" x14ac:dyDescent="0.25">
      <c r="B11" s="186" t="s">
        <v>3</v>
      </c>
      <c r="C11" s="186"/>
      <c r="D11" s="186"/>
      <c r="E11" s="7">
        <v>20</v>
      </c>
    </row>
    <row r="12" spans="2:9" x14ac:dyDescent="0.25">
      <c r="B12" s="8"/>
      <c r="C12" s="8"/>
      <c r="D12" s="8"/>
      <c r="E12" s="8"/>
    </row>
    <row r="13" spans="2:9" x14ac:dyDescent="0.25">
      <c r="B13" s="192" t="s">
        <v>6</v>
      </c>
      <c r="C13" s="192"/>
      <c r="D13" s="192"/>
      <c r="E13" s="192"/>
    </row>
    <row r="14" spans="2:9" x14ac:dyDescent="0.25">
      <c r="B14" s="196" t="s">
        <v>5</v>
      </c>
      <c r="C14" s="196"/>
      <c r="D14" s="197" t="s">
        <v>180</v>
      </c>
      <c r="E14" s="197"/>
    </row>
    <row r="15" spans="2:9" x14ac:dyDescent="0.25">
      <c r="B15" s="198" t="s">
        <v>189</v>
      </c>
      <c r="C15" s="198"/>
      <c r="D15" s="199">
        <v>40</v>
      </c>
      <c r="E15" s="199"/>
    </row>
    <row r="17" spans="2:9" ht="15.75" customHeight="1" x14ac:dyDescent="0.25">
      <c r="B17" s="187" t="s">
        <v>187</v>
      </c>
      <c r="C17" s="188"/>
      <c r="D17" s="1"/>
      <c r="E17" s="2"/>
    </row>
    <row r="18" spans="2:9" ht="15" customHeight="1" x14ac:dyDescent="0.25">
      <c r="B18" s="193" t="s">
        <v>190</v>
      </c>
      <c r="C18" s="194"/>
      <c r="D18" s="194"/>
      <c r="E18" s="194"/>
      <c r="F18" s="54"/>
      <c r="G18" s="54"/>
      <c r="H18" s="54"/>
      <c r="I18" s="54"/>
    </row>
    <row r="19" spans="2:9" ht="43.5" hidden="1" customHeight="1" x14ac:dyDescent="0.25">
      <c r="B19" s="195"/>
      <c r="C19" s="195"/>
      <c r="D19" s="195"/>
      <c r="E19" s="195"/>
      <c r="F19" s="54"/>
      <c r="G19" s="54"/>
      <c r="H19" s="54"/>
      <c r="I19" s="54"/>
    </row>
    <row r="20" spans="2:9" x14ac:dyDescent="0.25">
      <c r="F20" s="54"/>
      <c r="G20" s="54"/>
      <c r="H20" s="54"/>
      <c r="I20" s="54"/>
    </row>
    <row r="21" spans="2:9" x14ac:dyDescent="0.25">
      <c r="B21" s="200" t="s">
        <v>10</v>
      </c>
      <c r="C21" s="200"/>
      <c r="D21" s="200"/>
      <c r="E21" s="200"/>
      <c r="F21" s="54"/>
      <c r="G21" s="54"/>
      <c r="H21" s="54"/>
      <c r="I21" s="54"/>
    </row>
    <row r="22" spans="2:9" ht="47.25" x14ac:dyDescent="0.25">
      <c r="B22" s="11"/>
      <c r="C22" s="113" t="s">
        <v>186</v>
      </c>
      <c r="D22" s="113" t="s">
        <v>181</v>
      </c>
      <c r="E22" s="30" t="s">
        <v>9</v>
      </c>
    </row>
    <row r="23" spans="2:9" x14ac:dyDescent="0.25">
      <c r="B23" s="7" t="s">
        <v>57</v>
      </c>
      <c r="C23" s="93">
        <v>56</v>
      </c>
      <c r="D23" s="42">
        <v>56</v>
      </c>
      <c r="E23" s="42">
        <v>112</v>
      </c>
    </row>
    <row r="24" spans="2:9" x14ac:dyDescent="0.25">
      <c r="B24" s="12" t="s">
        <v>24</v>
      </c>
      <c r="C24" s="93">
        <f>C23*E11</f>
        <v>1120</v>
      </c>
      <c r="D24" s="42">
        <f>D23*E11</f>
        <v>1120</v>
      </c>
      <c r="E24" s="42">
        <f>C24+D24</f>
        <v>2240</v>
      </c>
    </row>
    <row r="25" spans="2:9" x14ac:dyDescent="0.25">
      <c r="B25" s="12" t="s">
        <v>58</v>
      </c>
      <c r="C25" s="93">
        <f>C23*E9</f>
        <v>11200</v>
      </c>
      <c r="D25" s="42">
        <f>D23*E9</f>
        <v>11200</v>
      </c>
      <c r="E25" s="42">
        <f>C25+D25</f>
        <v>22400</v>
      </c>
    </row>
    <row r="26" spans="2:9" x14ac:dyDescent="0.25">
      <c r="B26" s="9"/>
      <c r="C26" s="9"/>
      <c r="D26" s="10"/>
      <c r="E26" s="10"/>
    </row>
    <row r="27" spans="2:9" x14ac:dyDescent="0.25">
      <c r="B27" s="192" t="s">
        <v>11</v>
      </c>
      <c r="C27" s="192"/>
      <c r="D27" s="192"/>
      <c r="E27" s="192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0.2638888888888889</v>
      </c>
      <c r="D29" s="13">
        <v>0.31944444444444448</v>
      </c>
      <c r="E29" s="13">
        <f>D29-C29</f>
        <v>5.555555555555558E-2</v>
      </c>
    </row>
    <row r="30" spans="2:9" x14ac:dyDescent="0.25">
      <c r="B30" s="12" t="s">
        <v>15</v>
      </c>
      <c r="C30" s="13">
        <v>0.47916666666666669</v>
      </c>
      <c r="D30" s="13">
        <v>0.53472222222222221</v>
      </c>
      <c r="E30" s="13">
        <f>D30-C30</f>
        <v>5.5555555555555525E-2</v>
      </c>
    </row>
    <row r="31" spans="2:9" x14ac:dyDescent="0.25">
      <c r="B31" s="34" t="s">
        <v>182</v>
      </c>
      <c r="C31" s="176">
        <v>0</v>
      </c>
      <c r="D31" s="177">
        <v>0</v>
      </c>
      <c r="E31" s="13">
        <f>D31-C31</f>
        <v>0</v>
      </c>
    </row>
    <row r="32" spans="2:9" x14ac:dyDescent="0.25">
      <c r="B32" s="189" t="s">
        <v>9</v>
      </c>
      <c r="C32" s="190"/>
      <c r="D32" s="191"/>
      <c r="E32" s="14">
        <f>SUM(E29:E31)</f>
        <v>0.1111111111111111</v>
      </c>
    </row>
    <row r="34" spans="2:9" x14ac:dyDescent="0.25">
      <c r="B34" s="118" t="s">
        <v>17</v>
      </c>
      <c r="C34" s="119"/>
      <c r="D34" s="119"/>
      <c r="E34" s="119"/>
      <c r="F34" s="119"/>
      <c r="G34" s="119"/>
      <c r="H34" s="119"/>
      <c r="I34" s="119"/>
    </row>
    <row r="35" spans="2:9" x14ac:dyDescent="0.25">
      <c r="B35" s="15"/>
      <c r="C35" s="16" t="s">
        <v>13</v>
      </c>
      <c r="D35" s="16" t="s">
        <v>14</v>
      </c>
      <c r="E35" s="16" t="s">
        <v>9</v>
      </c>
    </row>
    <row r="36" spans="2:9" x14ac:dyDescent="0.25">
      <c r="B36" s="17" t="str">
        <f>B29</f>
        <v>Rota 1</v>
      </c>
      <c r="C36" s="18">
        <f>D29-C29</f>
        <v>5.555555555555558E-2</v>
      </c>
      <c r="D36" s="19">
        <f>(C30-D29)-D106</f>
        <v>5.5555555555555539E-2</v>
      </c>
      <c r="E36" s="18">
        <f>C36+D36</f>
        <v>0.11111111111111112</v>
      </c>
    </row>
    <row r="37" spans="2:9" x14ac:dyDescent="0.25">
      <c r="B37" s="17" t="str">
        <f>B30</f>
        <v>Rota 2</v>
      </c>
      <c r="C37" s="19">
        <f>D30-C30</f>
        <v>5.5555555555555525E-2</v>
      </c>
      <c r="D37" s="18">
        <f>(C31-D30)-D106</f>
        <v>-0.63888888888888884</v>
      </c>
      <c r="E37" s="18">
        <f>C37+D37</f>
        <v>-0.58333333333333326</v>
      </c>
    </row>
    <row r="38" spans="2:9" x14ac:dyDescent="0.25">
      <c r="B38" s="17" t="s">
        <v>182</v>
      </c>
      <c r="C38" s="19">
        <f>D31-C31</f>
        <v>0</v>
      </c>
      <c r="D38" s="19">
        <v>0</v>
      </c>
      <c r="E38" s="19">
        <f>C38+D38</f>
        <v>0</v>
      </c>
    </row>
    <row r="39" spans="2:9" x14ac:dyDescent="0.25">
      <c r="B39" s="17" t="s">
        <v>9</v>
      </c>
      <c r="C39" s="20">
        <f>SUM(C36:C38)</f>
        <v>0.1111111111111111</v>
      </c>
      <c r="D39" s="179">
        <f>SUM(D36:D38)</f>
        <v>-0.58333333333333326</v>
      </c>
      <c r="E39" s="20">
        <f>SUM(E36:E38)</f>
        <v>-0.47222222222222215</v>
      </c>
    </row>
    <row r="40" spans="2:9" ht="77.25" customHeight="1" x14ac:dyDescent="0.25">
      <c r="D40" s="5"/>
      <c r="E40" s="21"/>
    </row>
    <row r="41" spans="2:9" x14ac:dyDescent="0.25">
      <c r="B41" s="203" t="s">
        <v>18</v>
      </c>
      <c r="C41" s="204"/>
      <c r="D41" s="204"/>
      <c r="E41" s="204"/>
      <c r="F41" s="204"/>
      <c r="G41" s="204"/>
      <c r="H41" s="114"/>
      <c r="I41" s="114"/>
    </row>
    <row r="42" spans="2:9" x14ac:dyDescent="0.25">
      <c r="B42" s="15"/>
      <c r="C42" s="16" t="s">
        <v>13</v>
      </c>
      <c r="D42" s="16" t="s">
        <v>14</v>
      </c>
      <c r="E42" s="16" t="s">
        <v>9</v>
      </c>
    </row>
    <row r="43" spans="2:9" x14ac:dyDescent="0.25">
      <c r="B43" s="17" t="str">
        <f>B36</f>
        <v>Rota 1</v>
      </c>
      <c r="C43" s="48">
        <f>E29*24</f>
        <v>1.3333333333333339</v>
      </c>
      <c r="D43" s="17">
        <f>D36*24</f>
        <v>1.333333333333333</v>
      </c>
      <c r="E43" s="48">
        <f>C43+D43</f>
        <v>2.666666666666667</v>
      </c>
    </row>
    <row r="44" spans="2:9" x14ac:dyDescent="0.25">
      <c r="B44" s="17" t="str">
        <f>B37</f>
        <v>Rota 2</v>
      </c>
      <c r="C44" s="48">
        <f>E30*24</f>
        <v>1.3333333333333326</v>
      </c>
      <c r="D44" s="48">
        <f>D37*24</f>
        <v>-15.333333333333332</v>
      </c>
      <c r="E44" s="48">
        <f>C44+D44</f>
        <v>-14</v>
      </c>
    </row>
    <row r="45" spans="2:9" x14ac:dyDescent="0.25">
      <c r="B45" s="17" t="s">
        <v>182</v>
      </c>
      <c r="C45" s="48">
        <f>E31*24</f>
        <v>0</v>
      </c>
      <c r="D45" s="17">
        <f>D38*24</f>
        <v>0</v>
      </c>
      <c r="E45" s="48">
        <f>C45+D45</f>
        <v>0</v>
      </c>
    </row>
    <row r="46" spans="2:9" x14ac:dyDescent="0.25">
      <c r="B46" s="17"/>
      <c r="C46" s="180">
        <f>SUM(C43:C45)</f>
        <v>2.6666666666666665</v>
      </c>
      <c r="D46" s="180">
        <f>SUM(D43:D45)</f>
        <v>-14</v>
      </c>
      <c r="E46" s="180">
        <f>SUM(E43:E45)</f>
        <v>-11.333333333333332</v>
      </c>
    </row>
    <row r="47" spans="2:9" x14ac:dyDescent="0.25">
      <c r="D47" s="5"/>
      <c r="E47" s="5"/>
    </row>
    <row r="48" spans="2:9" x14ac:dyDescent="0.25">
      <c r="B48" s="212" t="s">
        <v>26</v>
      </c>
      <c r="C48" s="212"/>
      <c r="D48" s="212"/>
      <c r="E48" s="212"/>
      <c r="F48" s="212"/>
      <c r="G48" s="212"/>
      <c r="H48" s="212"/>
      <c r="I48" s="212"/>
    </row>
    <row r="49" spans="2:10" x14ac:dyDescent="0.25">
      <c r="B49" s="207" t="s">
        <v>19</v>
      </c>
      <c r="C49" s="16" t="s">
        <v>13</v>
      </c>
      <c r="D49" s="16" t="s">
        <v>14</v>
      </c>
      <c r="E49" s="16"/>
    </row>
    <row r="50" spans="2:10" x14ac:dyDescent="0.25">
      <c r="B50" s="208"/>
      <c r="C50" s="22">
        <f>(C43+C44+C45)*E11</f>
        <v>53.333333333333329</v>
      </c>
      <c r="D50" s="22">
        <f>(D43+D45)*E11</f>
        <v>26.666666666666661</v>
      </c>
      <c r="E50" s="23">
        <f>C50+D50</f>
        <v>79.999999999999986</v>
      </c>
    </row>
    <row r="51" spans="2:10" x14ac:dyDescent="0.25">
      <c r="B51" s="183" t="s">
        <v>173</v>
      </c>
      <c r="C51" s="184"/>
      <c r="D51" s="185"/>
      <c r="E51" s="23">
        <f>((6*5)+(1*4))*5</f>
        <v>170</v>
      </c>
      <c r="F51" s="53"/>
      <c r="I51" s="116"/>
      <c r="J51" s="5"/>
    </row>
    <row r="52" spans="2:10" x14ac:dyDescent="0.25">
      <c r="B52" s="183" t="s">
        <v>174</v>
      </c>
      <c r="C52" s="184"/>
      <c r="D52" s="185"/>
      <c r="E52" s="23">
        <f>((8*5)+(1*4))*5</f>
        <v>220</v>
      </c>
      <c r="F52" s="52"/>
      <c r="I52" s="117"/>
      <c r="J52" s="5"/>
    </row>
    <row r="53" spans="2:10" x14ac:dyDescent="0.25">
      <c r="B53" s="183" t="s">
        <v>21</v>
      </c>
      <c r="C53" s="184"/>
      <c r="D53" s="185"/>
      <c r="E53" s="24">
        <v>1</v>
      </c>
      <c r="F53" s="205"/>
      <c r="G53" s="206"/>
      <c r="H53" s="51"/>
      <c r="I53" s="46"/>
      <c r="J53" s="46"/>
    </row>
    <row r="54" spans="2:10" x14ac:dyDescent="0.25">
      <c r="B54" s="183" t="s">
        <v>25</v>
      </c>
      <c r="C54" s="184"/>
      <c r="D54" s="185"/>
      <c r="E54" s="23">
        <f>(E51*E53)/E52</f>
        <v>0.77272727272727271</v>
      </c>
      <c r="I54" s="5"/>
      <c r="J54" s="5"/>
    </row>
    <row r="55" spans="2:10" x14ac:dyDescent="0.25">
      <c r="B55" s="183" t="s">
        <v>20</v>
      </c>
      <c r="C55" s="184"/>
      <c r="D55" s="185"/>
      <c r="E55" s="23">
        <f>(C50*E53)/E52</f>
        <v>0.2424242424242424</v>
      </c>
      <c r="I55" s="115"/>
      <c r="J55" s="5"/>
    </row>
    <row r="56" spans="2:10" x14ac:dyDescent="0.25">
      <c r="B56" s="183" t="s">
        <v>22</v>
      </c>
      <c r="C56" s="184"/>
      <c r="D56" s="185"/>
      <c r="E56" s="23">
        <f>(D50*E53)/E52</f>
        <v>0.12121212121212119</v>
      </c>
      <c r="I56" s="115"/>
      <c r="J56" s="5"/>
    </row>
    <row r="57" spans="2:10" x14ac:dyDescent="0.25">
      <c r="B57" s="209" t="s">
        <v>23</v>
      </c>
      <c r="C57" s="210"/>
      <c r="D57" s="211"/>
      <c r="E57" s="27">
        <f>SUM(E55:E56)</f>
        <v>0.36363636363636359</v>
      </c>
      <c r="G57" s="28"/>
      <c r="I57" s="115"/>
      <c r="J57" s="5"/>
    </row>
    <row r="58" spans="2:10" x14ac:dyDescent="0.25">
      <c r="B58" s="9"/>
      <c r="C58" s="9"/>
      <c r="D58" s="9"/>
      <c r="E58" s="26"/>
    </row>
    <row r="59" spans="2:10" x14ac:dyDescent="0.25">
      <c r="B59" s="46" t="s">
        <v>45</v>
      </c>
      <c r="C59" s="46"/>
      <c r="D59" s="46"/>
      <c r="E59" s="46"/>
      <c r="F59" s="46"/>
      <c r="G59" s="46"/>
      <c r="H59" s="46"/>
      <c r="I59" s="46"/>
    </row>
    <row r="60" spans="2:10" x14ac:dyDescent="0.25">
      <c r="B60" s="201" t="s">
        <v>27</v>
      </c>
      <c r="C60" s="201"/>
      <c r="D60" s="201"/>
      <c r="E60" s="201"/>
    </row>
    <row r="61" spans="2:10" x14ac:dyDescent="0.25">
      <c r="B61" s="198" t="s">
        <v>28</v>
      </c>
      <c r="C61" s="198"/>
      <c r="D61" s="198"/>
      <c r="E61" s="24" t="s">
        <v>29</v>
      </c>
    </row>
    <row r="62" spans="2:10" x14ac:dyDescent="0.25">
      <c r="B62" s="183" t="s">
        <v>30</v>
      </c>
      <c r="C62" s="184"/>
      <c r="D62" s="185"/>
      <c r="E62" s="24">
        <f>D15</f>
        <v>40</v>
      </c>
    </row>
    <row r="63" spans="2:10" x14ac:dyDescent="0.25">
      <c r="B63" s="183" t="s">
        <v>31</v>
      </c>
      <c r="C63" s="184"/>
      <c r="D63" s="185"/>
      <c r="E63" s="24" t="s">
        <v>32</v>
      </c>
    </row>
    <row r="64" spans="2:10" x14ac:dyDescent="0.25">
      <c r="B64" s="183" t="s">
        <v>33</v>
      </c>
      <c r="C64" s="184"/>
      <c r="D64" s="185"/>
      <c r="E64" s="24">
        <v>2023</v>
      </c>
    </row>
    <row r="65" spans="2:9" x14ac:dyDescent="0.25">
      <c r="B65" s="31" t="s">
        <v>34</v>
      </c>
      <c r="C65" s="32"/>
      <c r="D65" s="33"/>
      <c r="E65" s="24">
        <v>3</v>
      </c>
    </row>
    <row r="66" spans="2:9" x14ac:dyDescent="0.25">
      <c r="B66" s="9"/>
      <c r="C66" s="9"/>
      <c r="D66" s="9"/>
      <c r="E66" s="26"/>
    </row>
    <row r="67" spans="2:9" x14ac:dyDescent="0.25">
      <c r="B67" s="209" t="s">
        <v>44</v>
      </c>
      <c r="C67" s="210"/>
      <c r="D67" s="210"/>
      <c r="E67" s="211"/>
    </row>
    <row r="68" spans="2:9" x14ac:dyDescent="0.25">
      <c r="B68" s="12" t="s">
        <v>37</v>
      </c>
      <c r="C68" s="34"/>
      <c r="D68" s="35">
        <v>1</v>
      </c>
      <c r="E68" s="36">
        <v>615000</v>
      </c>
    </row>
    <row r="69" spans="2:9" x14ac:dyDescent="0.25">
      <c r="B69" s="183" t="s">
        <v>38</v>
      </c>
      <c r="C69" s="184"/>
      <c r="D69" s="35">
        <v>1</v>
      </c>
      <c r="E69" s="23">
        <v>80</v>
      </c>
    </row>
    <row r="70" spans="2:9" x14ac:dyDescent="0.25">
      <c r="B70" s="183" t="s">
        <v>39</v>
      </c>
      <c r="C70" s="184"/>
      <c r="D70" s="35">
        <v>1</v>
      </c>
      <c r="E70" s="23" t="s">
        <v>46</v>
      </c>
    </row>
    <row r="71" spans="2:9" x14ac:dyDescent="0.25">
      <c r="B71" s="183" t="s">
        <v>40</v>
      </c>
      <c r="C71" s="184"/>
      <c r="D71" s="35">
        <v>1</v>
      </c>
      <c r="E71" s="23">
        <v>157.41999999999999</v>
      </c>
    </row>
    <row r="72" spans="2:9" x14ac:dyDescent="0.25">
      <c r="B72" s="218" t="s">
        <v>41</v>
      </c>
      <c r="C72" s="218"/>
      <c r="D72" s="35">
        <v>2</v>
      </c>
      <c r="E72" s="24">
        <v>220</v>
      </c>
    </row>
    <row r="73" spans="2:9" x14ac:dyDescent="0.25">
      <c r="B73" s="219" t="s">
        <v>42</v>
      </c>
      <c r="C73" s="220"/>
      <c r="D73" s="35">
        <v>1</v>
      </c>
      <c r="E73" s="23">
        <v>640</v>
      </c>
    </row>
    <row r="74" spans="2:9" x14ac:dyDescent="0.25">
      <c r="B74" s="216" t="s">
        <v>31</v>
      </c>
      <c r="C74" s="217"/>
      <c r="D74" s="35">
        <v>1</v>
      </c>
      <c r="E74" s="29">
        <v>6.22</v>
      </c>
    </row>
    <row r="75" spans="2:9" x14ac:dyDescent="0.25">
      <c r="B75" s="221" t="s">
        <v>165</v>
      </c>
      <c r="C75" s="221"/>
      <c r="D75" s="44">
        <v>0.15</v>
      </c>
      <c r="E75" s="36">
        <f>((E68-E78)*D75)/12</f>
        <v>6150</v>
      </c>
      <c r="I75" s="51"/>
    </row>
    <row r="76" spans="2:9" x14ac:dyDescent="0.25">
      <c r="B76" s="221" t="s">
        <v>166</v>
      </c>
      <c r="C76" s="221"/>
      <c r="D76" s="44">
        <v>0.1</v>
      </c>
      <c r="E76" s="36">
        <f>(((E68-E78)-E75)*D76)/12</f>
        <v>4048.75</v>
      </c>
      <c r="I76" s="51"/>
    </row>
    <row r="77" spans="2:9" x14ac:dyDescent="0.25">
      <c r="B77" s="216" t="s">
        <v>47</v>
      </c>
      <c r="C77" s="217"/>
      <c r="D77" s="44" t="s">
        <v>48</v>
      </c>
      <c r="E77" s="36">
        <v>20</v>
      </c>
    </row>
    <row r="78" spans="2:9" x14ac:dyDescent="0.25">
      <c r="B78" s="221" t="s">
        <v>43</v>
      </c>
      <c r="C78" s="221"/>
      <c r="D78" s="44">
        <v>0.2</v>
      </c>
      <c r="E78" s="36">
        <f>E68*D78</f>
        <v>123000</v>
      </c>
    </row>
    <row r="79" spans="2:9" x14ac:dyDescent="0.25">
      <c r="B79" s="31" t="s">
        <v>73</v>
      </c>
      <c r="C79" s="32"/>
      <c r="D79" s="35" t="s">
        <v>71</v>
      </c>
      <c r="E79" s="37">
        <v>0</v>
      </c>
    </row>
    <row r="80" spans="2:9" x14ac:dyDescent="0.25">
      <c r="B80" s="9"/>
      <c r="C80" s="9"/>
      <c r="D80" s="9"/>
      <c r="E80" s="59"/>
    </row>
    <row r="81" spans="2:5" x14ac:dyDescent="0.25">
      <c r="B81" s="212" t="s">
        <v>35</v>
      </c>
      <c r="C81" s="212"/>
      <c r="D81" s="212"/>
      <c r="E81" s="212"/>
    </row>
    <row r="82" spans="2:5" x14ac:dyDescent="0.25">
      <c r="B82" s="213" t="s">
        <v>36</v>
      </c>
      <c r="C82" s="214"/>
      <c r="D82" s="214"/>
      <c r="E82" s="215"/>
    </row>
    <row r="83" spans="2:5" x14ac:dyDescent="0.25">
      <c r="B83" s="222" t="s">
        <v>50</v>
      </c>
      <c r="C83" s="223"/>
      <c r="D83" s="224"/>
      <c r="E83" s="43">
        <v>0.1</v>
      </c>
    </row>
    <row r="84" spans="2:5" ht="12" customHeight="1" x14ac:dyDescent="0.25">
      <c r="D84" s="5"/>
      <c r="E84" s="21"/>
    </row>
    <row r="85" spans="2:5" x14ac:dyDescent="0.25">
      <c r="B85" s="212" t="s">
        <v>49</v>
      </c>
      <c r="C85" s="212"/>
      <c r="D85" s="212"/>
      <c r="E85" s="212"/>
    </row>
    <row r="86" spans="2:5" x14ac:dyDescent="0.25">
      <c r="B86" s="213" t="s">
        <v>36</v>
      </c>
      <c r="C86" s="214"/>
      <c r="D86" s="214"/>
      <c r="E86" s="215"/>
    </row>
    <row r="87" spans="2:5" x14ac:dyDescent="0.25">
      <c r="B87" s="222" t="s">
        <v>50</v>
      </c>
      <c r="C87" s="223"/>
      <c r="D87" s="224"/>
      <c r="E87" s="43">
        <v>0.1</v>
      </c>
    </row>
    <row r="88" spans="2:5" ht="15.75" customHeight="1" x14ac:dyDescent="0.25">
      <c r="B88" s="39"/>
      <c r="C88" s="39"/>
      <c r="D88" s="39"/>
      <c r="E88" s="40"/>
    </row>
    <row r="89" spans="2:5" x14ac:dyDescent="0.25">
      <c r="B89" s="231" t="s">
        <v>53</v>
      </c>
      <c r="C89" s="231"/>
      <c r="D89" s="231"/>
      <c r="E89" s="231"/>
    </row>
    <row r="90" spans="2:5" x14ac:dyDescent="0.25">
      <c r="B90" s="60" t="s">
        <v>28</v>
      </c>
      <c r="C90" s="11" t="s">
        <v>54</v>
      </c>
      <c r="D90" s="11" t="s">
        <v>51</v>
      </c>
      <c r="E90" s="11" t="s">
        <v>52</v>
      </c>
    </row>
    <row r="91" spans="2:5" x14ac:dyDescent="0.25">
      <c r="B91" s="17" t="s">
        <v>55</v>
      </c>
      <c r="C91" s="38">
        <v>4</v>
      </c>
      <c r="D91" s="61">
        <v>40000</v>
      </c>
      <c r="E91" s="45">
        <v>9144.8799999999992</v>
      </c>
    </row>
    <row r="92" spans="2:5" x14ac:dyDescent="0.25">
      <c r="B92" s="17" t="s">
        <v>56</v>
      </c>
      <c r="C92" s="38">
        <v>2</v>
      </c>
      <c r="D92" s="61">
        <v>20000</v>
      </c>
      <c r="E92" s="45">
        <v>2000</v>
      </c>
    </row>
    <row r="93" spans="2:5" x14ac:dyDescent="0.25">
      <c r="D93" s="5"/>
      <c r="E93" s="21"/>
    </row>
    <row r="94" spans="2:5" x14ac:dyDescent="0.25">
      <c r="D94" s="5"/>
      <c r="E94" s="21"/>
    </row>
    <row r="95" spans="2:5" s="46" customFormat="1" x14ac:dyDescent="0.25">
      <c r="B95" s="212" t="s">
        <v>59</v>
      </c>
      <c r="C95" s="212"/>
      <c r="D95" s="212"/>
      <c r="E95" s="212"/>
    </row>
    <row r="96" spans="2:5" x14ac:dyDescent="0.25">
      <c r="B96" s="232" t="s">
        <v>60</v>
      </c>
      <c r="C96" s="232"/>
      <c r="D96" s="233" t="s">
        <v>191</v>
      </c>
      <c r="E96" s="233"/>
    </row>
    <row r="97" spans="2:5" x14ac:dyDescent="0.25">
      <c r="B97" s="62" t="s">
        <v>61</v>
      </c>
      <c r="C97" s="62"/>
      <c r="D97" s="234" t="s">
        <v>62</v>
      </c>
      <c r="E97" s="234"/>
    </row>
    <row r="98" spans="2:5" x14ac:dyDescent="0.25">
      <c r="B98" s="235" t="s">
        <v>63</v>
      </c>
      <c r="C98" s="235"/>
      <c r="D98" s="5"/>
      <c r="E98" s="21"/>
    </row>
    <row r="99" spans="2:5" x14ac:dyDescent="0.25">
      <c r="B99" s="222" t="s">
        <v>64</v>
      </c>
      <c r="C99" s="223"/>
      <c r="D99" s="224"/>
      <c r="E99" s="41">
        <v>3263.97</v>
      </c>
    </row>
    <row r="100" spans="2:5" x14ac:dyDescent="0.25">
      <c r="B100" s="47"/>
      <c r="C100" s="47"/>
      <c r="D100" s="38" t="s">
        <v>52</v>
      </c>
      <c r="E100" s="42" t="s">
        <v>67</v>
      </c>
    </row>
    <row r="101" spans="2:5" x14ac:dyDescent="0.25">
      <c r="B101" s="229" t="s">
        <v>66</v>
      </c>
      <c r="C101" s="229"/>
      <c r="D101" s="48">
        <v>27.68</v>
      </c>
      <c r="E101" s="50">
        <v>0.05</v>
      </c>
    </row>
    <row r="102" spans="2:5" x14ac:dyDescent="0.25">
      <c r="B102" s="229" t="s">
        <v>65</v>
      </c>
      <c r="C102" s="229"/>
      <c r="D102" s="17">
        <v>0</v>
      </c>
      <c r="E102" s="50">
        <v>0.06</v>
      </c>
    </row>
    <row r="103" spans="2:5" x14ac:dyDescent="0.25">
      <c r="B103" s="229" t="s">
        <v>68</v>
      </c>
      <c r="C103" s="229"/>
      <c r="D103" s="17">
        <v>128.68</v>
      </c>
      <c r="E103" s="50">
        <v>0.2</v>
      </c>
    </row>
    <row r="104" spans="2:5" x14ac:dyDescent="0.25">
      <c r="B104" s="229" t="s">
        <v>69</v>
      </c>
      <c r="C104" s="229"/>
      <c r="D104" s="48">
        <v>0</v>
      </c>
      <c r="E104" s="20"/>
    </row>
    <row r="105" spans="2:5" x14ac:dyDescent="0.25">
      <c r="B105" s="229" t="s">
        <v>70</v>
      </c>
      <c r="C105" s="229"/>
      <c r="D105" s="49">
        <v>0</v>
      </c>
      <c r="E105" s="20"/>
    </row>
    <row r="106" spans="2:5" x14ac:dyDescent="0.25">
      <c r="B106" s="39" t="s">
        <v>183</v>
      </c>
      <c r="C106" s="39"/>
      <c r="D106" s="178">
        <v>0.10416666666666667</v>
      </c>
      <c r="E106" s="21"/>
    </row>
    <row r="107" spans="2:5" x14ac:dyDescent="0.25">
      <c r="B107" s="10"/>
      <c r="C107" s="10"/>
      <c r="D107" s="5"/>
      <c r="E107" s="21"/>
    </row>
    <row r="108" spans="2:5" x14ac:dyDescent="0.25">
      <c r="B108" s="230" t="s">
        <v>72</v>
      </c>
      <c r="C108" s="230"/>
      <c r="D108" s="230"/>
      <c r="E108" s="230"/>
    </row>
    <row r="109" spans="2:5" x14ac:dyDescent="0.25">
      <c r="B109" s="226"/>
      <c r="C109" s="227"/>
      <c r="D109" s="228"/>
      <c r="E109" s="11" t="s">
        <v>75</v>
      </c>
    </row>
    <row r="110" spans="2:5" x14ac:dyDescent="0.25">
      <c r="B110" s="198" t="s">
        <v>185</v>
      </c>
      <c r="C110" s="198"/>
      <c r="D110" s="198"/>
      <c r="E110" s="63">
        <v>0.05</v>
      </c>
    </row>
    <row r="111" spans="2:5" x14ac:dyDescent="0.25">
      <c r="B111" s="8"/>
      <c r="C111" s="8"/>
      <c r="D111" s="8"/>
      <c r="E111" s="8"/>
    </row>
    <row r="112" spans="2:5" x14ac:dyDescent="0.25">
      <c r="B112" s="64" t="s">
        <v>74</v>
      </c>
      <c r="C112" s="8"/>
      <c r="D112" s="8"/>
      <c r="E112" s="8"/>
    </row>
    <row r="113" spans="2:5" x14ac:dyDescent="0.25">
      <c r="B113" s="183" t="s">
        <v>76</v>
      </c>
      <c r="C113" s="210"/>
      <c r="D113" s="211"/>
      <c r="E113" s="65">
        <v>0.15</v>
      </c>
    </row>
    <row r="114" spans="2:5" x14ac:dyDescent="0.25">
      <c r="B114" s="9"/>
      <c r="C114" s="89"/>
      <c r="D114" s="89"/>
      <c r="E114" s="90"/>
    </row>
    <row r="115" spans="2:5" x14ac:dyDescent="0.25">
      <c r="B115" s="89" t="s">
        <v>164</v>
      </c>
      <c r="C115" s="89"/>
      <c r="D115" s="89"/>
      <c r="E115" s="90"/>
    </row>
    <row r="116" spans="2:5" x14ac:dyDescent="0.25">
      <c r="B116" s="83"/>
      <c r="C116" s="83" t="s">
        <v>162</v>
      </c>
      <c r="D116" s="83" t="s">
        <v>163</v>
      </c>
      <c r="E116" s="83" t="s">
        <v>136</v>
      </c>
    </row>
    <row r="117" spans="2:5" x14ac:dyDescent="0.25">
      <c r="B117" s="56" t="s">
        <v>157</v>
      </c>
      <c r="C117" s="84">
        <v>7.5999999999999998E-2</v>
      </c>
      <c r="D117" s="85">
        <v>0.03</v>
      </c>
      <c r="E117" s="85">
        <v>2.4199999999999999E-2</v>
      </c>
    </row>
    <row r="118" spans="2:5" x14ac:dyDescent="0.25">
      <c r="B118" s="56" t="s">
        <v>158</v>
      </c>
      <c r="C118" s="84">
        <v>1.6500000000000001E-2</v>
      </c>
      <c r="D118" s="85">
        <v>6.4999999999999997E-3</v>
      </c>
      <c r="E118" s="85">
        <v>5.7000000000000002E-3</v>
      </c>
    </row>
    <row r="119" spans="2:5" x14ac:dyDescent="0.25">
      <c r="B119" s="56" t="s">
        <v>159</v>
      </c>
      <c r="C119" s="84">
        <v>0.05</v>
      </c>
      <c r="D119" s="85">
        <v>0.05</v>
      </c>
      <c r="E119" s="86">
        <v>0.05</v>
      </c>
    </row>
    <row r="120" spans="2:5" x14ac:dyDescent="0.25">
      <c r="B120" s="56"/>
      <c r="C120" s="87">
        <f>SUM(C117:C119)</f>
        <v>0.14250000000000002</v>
      </c>
      <c r="D120" s="88">
        <f>SUM(D117:D119)</f>
        <v>8.6499999999999994E-2</v>
      </c>
      <c r="E120" s="88">
        <f>SUM(E117:E119)</f>
        <v>7.9899999999999999E-2</v>
      </c>
    </row>
  </sheetData>
  <sheetProtection formatCells="0" formatColumns="0" formatRows="0" insertColumns="0" insertRows="0" insertHyperlinks="0" deleteColumns="0" deleteRows="0" sort="0" autoFilter="0" pivotTables="0"/>
  <protectedRanges>
    <protectedRange algorithmName="SHA-512" hashValue="u36Co3karJK46IkM4FDZbOrY4iOuUPp7SFcIvNPFRYOLh2Ts0hpZfmuXaDNRsjldtRyief4up9q0e5Th+2ukxQ==" saltValue="VoMZBH6NM6Qzq6EID4M4CA==" spinCount="100000" sqref="E65" name="Intervalo1"/>
  </protectedRanges>
  <mergeCells count="65"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  <mergeCell ref="B99:D99"/>
    <mergeCell ref="B85:E85"/>
    <mergeCell ref="B83:D83"/>
    <mergeCell ref="B87:D87"/>
    <mergeCell ref="B86:E86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X68"/>
  <sheetViews>
    <sheetView view="pageBreakPreview" zoomScaleNormal="100" zoomScaleSheetLayoutView="100" workbookViewId="0">
      <selection activeCell="M7" sqref="M7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308" t="s">
        <v>169</v>
      </c>
      <c r="E2" s="308"/>
      <c r="F2" s="308"/>
      <c r="G2" s="308"/>
      <c r="H2"/>
      <c r="I2"/>
      <c r="J2" t="s">
        <v>136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36" t="s">
        <v>77</v>
      </c>
      <c r="C3" s="236"/>
      <c r="D3" s="236"/>
      <c r="E3" s="236"/>
      <c r="F3" s="236"/>
      <c r="G3" s="122" t="s">
        <v>78</v>
      </c>
      <c r="H3"/>
      <c r="I3"/>
      <c r="J3" s="122" t="s">
        <v>78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246" t="s">
        <v>64</v>
      </c>
      <c r="C4" s="247"/>
      <c r="D4" s="247"/>
      <c r="E4" s="248"/>
      <c r="F4" s="124"/>
      <c r="G4" s="56">
        <v>3263.97</v>
      </c>
      <c r="H4"/>
      <c r="I4"/>
      <c r="J4" s="56">
        <f>G4</f>
        <v>3263.97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243"/>
      <c r="C5" s="244"/>
      <c r="D5" s="244"/>
      <c r="E5" s="245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249" t="s">
        <v>79</v>
      </c>
      <c r="C6" s="250"/>
      <c r="D6" s="250"/>
      <c r="E6" s="251"/>
      <c r="F6" s="124"/>
      <c r="G6" s="57">
        <f>SUM(G4:G5)</f>
        <v>3263.97</v>
      </c>
      <c r="H6"/>
      <c r="I6"/>
      <c r="J6" s="57">
        <f>SUM(J4:J5)</f>
        <v>3263.97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36" t="s">
        <v>80</v>
      </c>
      <c r="C8" s="236"/>
      <c r="D8" s="236"/>
      <c r="E8" s="236"/>
      <c r="F8" s="236"/>
      <c r="G8" s="122" t="s">
        <v>78</v>
      </c>
      <c r="H8"/>
      <c r="I8"/>
      <c r="J8" s="122" t="s">
        <v>78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242" t="s">
        <v>81</v>
      </c>
      <c r="C9" s="242"/>
      <c r="D9" s="242"/>
      <c r="E9" s="242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184</v>
      </c>
      <c r="C10" s="68"/>
      <c r="D10" s="68"/>
      <c r="E10" s="68"/>
      <c r="F10" s="68"/>
      <c r="G10" s="69">
        <v>337.06</v>
      </c>
      <c r="H10"/>
      <c r="I10"/>
      <c r="J10" s="69">
        <f>G10</f>
        <v>337.06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242" t="s">
        <v>82</v>
      </c>
      <c r="C11" s="242"/>
      <c r="D11" s="242"/>
      <c r="E11" s="242"/>
      <c r="F11" s="68"/>
      <c r="G11" s="69">
        <f>(Dados!D103-(Dados!D103*20%))</f>
        <v>102.944</v>
      </c>
      <c r="H11"/>
      <c r="I11"/>
      <c r="J11" s="69">
        <f>G11</f>
        <v>102.944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242" t="s">
        <v>83</v>
      </c>
      <c r="C12" s="242"/>
      <c r="D12" s="242"/>
      <c r="E12" s="242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242" t="s">
        <v>84</v>
      </c>
      <c r="C13" s="242"/>
      <c r="D13" s="242"/>
      <c r="E13" s="242"/>
      <c r="F13" s="68"/>
      <c r="G13" s="69">
        <f>Dados!D104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242" t="s">
        <v>85</v>
      </c>
      <c r="C14" s="242"/>
      <c r="D14" s="242"/>
      <c r="E14" s="242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86</v>
      </c>
      <c r="C15" s="127"/>
      <c r="D15" s="127"/>
      <c r="E15" s="127"/>
      <c r="F15" s="127"/>
      <c r="G15" s="128">
        <f>SUM(G9:G14)</f>
        <v>440.00400000000002</v>
      </c>
      <c r="H15"/>
      <c r="I15"/>
      <c r="J15" s="128">
        <f>SUM(J9:J14)</f>
        <v>440.00400000000002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2" t="s">
        <v>87</v>
      </c>
      <c r="C17" s="252"/>
      <c r="D17" s="252"/>
      <c r="E17" s="252"/>
      <c r="F17" s="252"/>
      <c r="G17" s="120" t="s">
        <v>78</v>
      </c>
      <c r="H17"/>
      <c r="I17"/>
      <c r="J17" s="120" t="s">
        <v>78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3" t="s">
        <v>88</v>
      </c>
      <c r="C18" s="253"/>
      <c r="D18" s="253"/>
      <c r="E18" s="253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6" t="s">
        <v>89</v>
      </c>
      <c r="C19" s="276"/>
      <c r="D19" s="276"/>
      <c r="E19" s="276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36" t="s">
        <v>90</v>
      </c>
      <c r="C21" s="236"/>
      <c r="D21" s="236"/>
      <c r="E21" s="236"/>
      <c r="F21" s="236"/>
      <c r="G21" s="122" t="s">
        <v>78</v>
      </c>
      <c r="H21"/>
      <c r="I21"/>
      <c r="J21" s="122" t="s">
        <v>78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78" t="s">
        <v>91</v>
      </c>
      <c r="C22" s="278"/>
      <c r="D22" s="278"/>
      <c r="E22" s="278"/>
      <c r="F22" s="124"/>
      <c r="G22" s="129">
        <f>G6/12</f>
        <v>271.9975</v>
      </c>
      <c r="H22"/>
      <c r="I22"/>
      <c r="J22" s="129">
        <f>J6/12</f>
        <v>271.9975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7" t="s">
        <v>92</v>
      </c>
      <c r="C23" s="277"/>
      <c r="D23" s="277"/>
      <c r="E23" s="277"/>
      <c r="F23" s="277"/>
      <c r="G23" s="67">
        <f>SUM(G22)</f>
        <v>271.9975</v>
      </c>
      <c r="H23"/>
      <c r="I23"/>
      <c r="J23" s="67">
        <f>SUM(J22)</f>
        <v>271.9975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90"/>
      <c r="C24" s="290"/>
      <c r="D24" s="290"/>
      <c r="E24" s="290"/>
      <c r="F24" s="290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36" t="s">
        <v>98</v>
      </c>
      <c r="C25" s="236"/>
      <c r="D25" s="236"/>
      <c r="E25" s="236"/>
      <c r="F25" s="236"/>
      <c r="G25" s="122" t="s">
        <v>78</v>
      </c>
      <c r="H25"/>
      <c r="I25"/>
      <c r="J25" s="122" t="s">
        <v>78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237" t="s">
        <v>118</v>
      </c>
      <c r="C26" s="238"/>
      <c r="D26" s="238"/>
      <c r="E26" s="238"/>
      <c r="F26" s="239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91" t="s">
        <v>102</v>
      </c>
      <c r="C27" s="238"/>
      <c r="D27" s="238"/>
      <c r="E27" s="238"/>
      <c r="F27" s="239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241"/>
      <c r="S28" s="241"/>
      <c r="T28" s="241"/>
      <c r="U28"/>
      <c r="V28"/>
      <c r="W28"/>
      <c r="X28"/>
    </row>
    <row r="29" spans="2:24" x14ac:dyDescent="0.25">
      <c r="B29" s="236" t="s">
        <v>99</v>
      </c>
      <c r="C29" s="236"/>
      <c r="D29" s="236"/>
      <c r="E29" s="236"/>
      <c r="F29" s="236"/>
      <c r="G29" s="122" t="s">
        <v>78</v>
      </c>
      <c r="H29"/>
      <c r="I29"/>
      <c r="J29" s="122" t="s">
        <v>78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96" t="s">
        <v>93</v>
      </c>
      <c r="C30" s="297"/>
      <c r="D30" s="298"/>
      <c r="E30" s="292">
        <v>0.2</v>
      </c>
      <c r="F30" s="293"/>
      <c r="G30" s="124">
        <f>G6*E30</f>
        <v>652.79399999999998</v>
      </c>
      <c r="H30"/>
      <c r="I30" s="135">
        <f>E30</f>
        <v>0.2</v>
      </c>
      <c r="J30" s="124">
        <f>G30</f>
        <v>652.79399999999998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81" t="s">
        <v>94</v>
      </c>
      <c r="C31" s="282"/>
      <c r="D31" s="283"/>
      <c r="E31" s="294">
        <v>0.03</v>
      </c>
      <c r="F31" s="295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81" t="s">
        <v>95</v>
      </c>
      <c r="C32" s="282"/>
      <c r="D32" s="283"/>
      <c r="E32" s="279">
        <v>2.5000000000000001E-2</v>
      </c>
      <c r="F32" s="280"/>
      <c r="G32" s="129">
        <v>0</v>
      </c>
      <c r="H32" s="131"/>
      <c r="I32">
        <v>0</v>
      </c>
      <c r="J32" s="129">
        <v>0</v>
      </c>
      <c r="K32"/>
      <c r="L32"/>
      <c r="M32" s="240"/>
      <c r="N32" s="240"/>
      <c r="O32" s="240"/>
      <c r="P32" s="240"/>
      <c r="Q32" s="240"/>
      <c r="R32" s="240"/>
      <c r="S32" s="240"/>
      <c r="T32" s="240"/>
      <c r="U32"/>
      <c r="V32"/>
      <c r="W32"/>
      <c r="X32"/>
    </row>
    <row r="33" spans="2:24" x14ac:dyDescent="0.25">
      <c r="B33" s="281" t="s">
        <v>179</v>
      </c>
      <c r="C33" s="282"/>
      <c r="D33" s="283"/>
      <c r="E33" s="279">
        <v>3.3000000000000002E-2</v>
      </c>
      <c r="F33" s="280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0"/>
      <c r="N33" s="240"/>
      <c r="O33" s="240"/>
      <c r="P33" s="240"/>
      <c r="Q33" s="240"/>
      <c r="R33" s="240"/>
      <c r="S33" s="240"/>
      <c r="T33" s="240"/>
      <c r="U33"/>
      <c r="V33"/>
      <c r="W33"/>
      <c r="X33"/>
    </row>
    <row r="34" spans="2:24" x14ac:dyDescent="0.25">
      <c r="B34" s="281" t="s">
        <v>96</v>
      </c>
      <c r="C34" s="282"/>
      <c r="D34" s="283"/>
      <c r="E34" s="279">
        <v>0.08</v>
      </c>
      <c r="F34" s="280"/>
      <c r="G34" s="129">
        <f>G6*E34</f>
        <v>261.11759999999998</v>
      </c>
      <c r="H34"/>
      <c r="I34" s="135">
        <f>E34</f>
        <v>0.08</v>
      </c>
      <c r="J34" s="129">
        <f>G34</f>
        <v>261.11759999999998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4" t="s">
        <v>97</v>
      </c>
      <c r="C35" s="284"/>
      <c r="D35" s="284"/>
      <c r="E35" s="285">
        <f>SUM(E30:E34)</f>
        <v>0.36800000000000005</v>
      </c>
      <c r="F35" s="286"/>
      <c r="G35" s="129">
        <f>SUM(G30:G34)</f>
        <v>913.91159999999991</v>
      </c>
      <c r="H35"/>
      <c r="I35" s="137">
        <f>SUM(I30:I34)</f>
        <v>0.31</v>
      </c>
      <c r="J35" s="138">
        <f>SUM(J30:J34)</f>
        <v>913.91159999999991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7" t="s">
        <v>100</v>
      </c>
      <c r="C36" s="287"/>
      <c r="D36" s="287"/>
      <c r="E36" s="287"/>
      <c r="F36" s="288"/>
      <c r="G36" s="129">
        <f>G23*E35</f>
        <v>100.09508000000001</v>
      </c>
      <c r="H36"/>
      <c r="I36"/>
      <c r="J36" s="129">
        <f>J23*I35</f>
        <v>84.319225000000003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89" t="s">
        <v>101</v>
      </c>
      <c r="C37" s="289"/>
      <c r="D37" s="289"/>
      <c r="E37" s="289"/>
      <c r="F37" s="289"/>
      <c r="G37" s="67">
        <f>SUM(G34:G36)</f>
        <v>1275.12428</v>
      </c>
      <c r="H37"/>
      <c r="I37"/>
      <c r="J37" s="67">
        <f>SUM(J34:J36)</f>
        <v>1259.3484249999999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36" t="s">
        <v>108</v>
      </c>
      <c r="C39" s="236"/>
      <c r="D39" s="236"/>
      <c r="E39" s="236"/>
      <c r="F39" s="236"/>
      <c r="G39" s="139" t="s">
        <v>78</v>
      </c>
      <c r="H39"/>
      <c r="I39"/>
      <c r="J39" s="139" t="s">
        <v>78</v>
      </c>
      <c r="K39"/>
      <c r="L39"/>
      <c r="M39" s="140"/>
      <c r="N39" s="140"/>
      <c r="O39" s="140"/>
      <c r="P39" s="140"/>
      <c r="Q39" s="301">
        <f>G6+G22+O25</f>
        <v>3535.9674999999997</v>
      </c>
      <c r="R39" s="273"/>
      <c r="S39" s="273"/>
      <c r="T39" s="274"/>
      <c r="U39" s="271"/>
      <c r="V39" s="271"/>
      <c r="W39" s="271"/>
      <c r="X39" s="271"/>
    </row>
    <row r="40" spans="2:24" x14ac:dyDescent="0.25">
      <c r="B40" s="253" t="s">
        <v>103</v>
      </c>
      <c r="C40" s="253"/>
      <c r="D40" s="253"/>
      <c r="E40" s="66"/>
      <c r="F40" s="124"/>
      <c r="G40" s="129">
        <f>T44</f>
        <v>48.458335968796121</v>
      </c>
      <c r="H40"/>
      <c r="I40"/>
      <c r="J40" s="129">
        <f>G40</f>
        <v>48.458335968796121</v>
      </c>
      <c r="K40"/>
      <c r="L40"/>
      <c r="M40" s="141" t="s">
        <v>129</v>
      </c>
      <c r="N40" s="140"/>
      <c r="O40" s="140"/>
      <c r="P40" s="140"/>
      <c r="Q40" s="302"/>
      <c r="R40" s="273"/>
      <c r="S40" s="273"/>
      <c r="T40" s="275"/>
      <c r="U40" s="272"/>
      <c r="V40" s="272"/>
      <c r="W40" s="272"/>
      <c r="X40" s="272"/>
    </row>
    <row r="41" spans="2:24" x14ac:dyDescent="0.25">
      <c r="B41" s="253" t="s">
        <v>104</v>
      </c>
      <c r="C41" s="253"/>
      <c r="D41" s="253"/>
      <c r="E41" s="66"/>
      <c r="F41" s="142">
        <f>E34</f>
        <v>0.08</v>
      </c>
      <c r="G41" s="129">
        <f>G40*F41</f>
        <v>3.8766668775036899</v>
      </c>
      <c r="H41"/>
      <c r="I41"/>
      <c r="J41" s="129">
        <f>G41</f>
        <v>3.8766668775036899</v>
      </c>
      <c r="K41"/>
      <c r="L41"/>
      <c r="M41" s="305"/>
      <c r="N41" s="306"/>
      <c r="O41" s="307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3" t="s">
        <v>105</v>
      </c>
      <c r="C42" s="253"/>
      <c r="D42" s="253"/>
      <c r="E42" s="66"/>
      <c r="F42" s="124"/>
      <c r="G42" s="129">
        <f>R49</f>
        <v>91.935154999999995</v>
      </c>
      <c r="H42"/>
      <c r="I42"/>
      <c r="J42" s="129">
        <f>G42</f>
        <v>91.935154999999995</v>
      </c>
      <c r="K42"/>
      <c r="L42"/>
      <c r="M42" s="301" t="s">
        <v>120</v>
      </c>
      <c r="N42" s="301" t="s">
        <v>121</v>
      </c>
      <c r="O42" s="301" t="s">
        <v>122</v>
      </c>
      <c r="P42" s="303" t="s">
        <v>128</v>
      </c>
      <c r="Q42" s="303" t="s">
        <v>124</v>
      </c>
      <c r="R42" s="274" t="s">
        <v>125</v>
      </c>
      <c r="S42" s="274" t="s">
        <v>126</v>
      </c>
      <c r="T42" s="274" t="s">
        <v>127</v>
      </c>
      <c r="U42" s="146"/>
      <c r="V42" s="146"/>
      <c r="W42" s="146"/>
      <c r="X42" s="146"/>
    </row>
    <row r="43" spans="2:24" ht="22.5" customHeight="1" x14ac:dyDescent="0.25">
      <c r="B43" s="253" t="s">
        <v>106</v>
      </c>
      <c r="C43" s="253"/>
      <c r="D43" s="253"/>
      <c r="E43" s="66"/>
      <c r="F43" s="124"/>
      <c r="G43" s="129">
        <f>T57</f>
        <v>68.384689373814027</v>
      </c>
      <c r="H43"/>
      <c r="I43"/>
      <c r="J43" s="129">
        <f>T58</f>
        <v>68.384689373814027</v>
      </c>
      <c r="K43"/>
      <c r="L43"/>
      <c r="M43" s="302"/>
      <c r="N43" s="302"/>
      <c r="O43" s="302"/>
      <c r="P43" s="304"/>
      <c r="Q43" s="304"/>
      <c r="R43" s="274"/>
      <c r="S43" s="274"/>
      <c r="T43" s="274"/>
      <c r="U43"/>
      <c r="V43"/>
      <c r="W43"/>
      <c r="X43"/>
    </row>
    <row r="44" spans="2:24" ht="21" customHeight="1" x14ac:dyDescent="0.25">
      <c r="B44" s="317" t="s">
        <v>113</v>
      </c>
      <c r="C44" s="317"/>
      <c r="D44" s="317"/>
      <c r="E44" s="317"/>
      <c r="F44" s="317"/>
      <c r="G44" s="129">
        <f>G43*E35</f>
        <v>25.165565689563564</v>
      </c>
      <c r="H44"/>
      <c r="I44"/>
      <c r="J44" s="129">
        <f>G44</f>
        <v>25.165565689563564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4596.7577499999998</v>
      </c>
      <c r="Q44" s="74">
        <v>47.43</v>
      </c>
      <c r="R44" s="147">
        <f>P44/Q44</f>
        <v>96.916671937592241</v>
      </c>
      <c r="S44" s="75">
        <v>0.5</v>
      </c>
      <c r="T44" s="76">
        <f>R44*S44</f>
        <v>48.458335968796121</v>
      </c>
      <c r="U44"/>
      <c r="V44"/>
      <c r="W44"/>
      <c r="X44"/>
    </row>
    <row r="45" spans="2:24" ht="15.75" customHeight="1" x14ac:dyDescent="0.25">
      <c r="B45" s="253" t="s">
        <v>107</v>
      </c>
      <c r="C45" s="253"/>
      <c r="D45" s="253"/>
      <c r="E45" s="66"/>
      <c r="F45" s="124"/>
      <c r="G45" s="129">
        <f>R61</f>
        <v>129.73943267999996</v>
      </c>
      <c r="H45"/>
      <c r="I45"/>
      <c r="J45" s="129">
        <f>G45</f>
        <v>129.73943267999996</v>
      </c>
      <c r="K45"/>
      <c r="L45"/>
      <c r="M45" s="144"/>
      <c r="N45" s="144"/>
      <c r="O45" s="144"/>
      <c r="P45" s="144"/>
      <c r="Q45" s="300" t="s">
        <v>119</v>
      </c>
      <c r="R45" s="300"/>
      <c r="S45" s="300"/>
      <c r="T45" s="144"/>
      <c r="U45"/>
      <c r="V45"/>
      <c r="W45"/>
      <c r="X45"/>
    </row>
    <row r="46" spans="2:24" x14ac:dyDescent="0.25">
      <c r="B46" s="252" t="s">
        <v>109</v>
      </c>
      <c r="C46" s="252"/>
      <c r="D46" s="252"/>
      <c r="E46" s="252"/>
      <c r="F46" s="252"/>
      <c r="G46" s="67">
        <f>SUM(G40:G45)</f>
        <v>367.55984558967737</v>
      </c>
      <c r="H46"/>
      <c r="I46"/>
      <c r="J46" s="67">
        <f>SUM(J40:J45)</f>
        <v>367.55984558967737</v>
      </c>
      <c r="K46"/>
      <c r="L46"/>
      <c r="M46" s="144"/>
      <c r="N46" s="144"/>
      <c r="O46" s="144"/>
      <c r="P46" s="144"/>
      <c r="Q46" s="300"/>
      <c r="R46" s="300"/>
      <c r="S46" s="300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99" t="s">
        <v>111</v>
      </c>
      <c r="C48" s="299"/>
      <c r="D48" s="299"/>
      <c r="E48" s="299"/>
      <c r="F48" s="299"/>
      <c r="G48" s="148"/>
      <c r="H48"/>
      <c r="I48"/>
      <c r="J48" s="148"/>
      <c r="K48"/>
      <c r="L48"/>
      <c r="M48" s="140" t="s">
        <v>130</v>
      </c>
      <c r="N48" s="140" t="s">
        <v>131</v>
      </c>
      <c r="O48" s="140" t="s">
        <v>96</v>
      </c>
      <c r="P48" s="140" t="s">
        <v>132</v>
      </c>
      <c r="Q48" s="140" t="s">
        <v>126</v>
      </c>
      <c r="R48" s="140" t="s">
        <v>133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57" t="s">
        <v>141</v>
      </c>
      <c r="C49" s="258"/>
      <c r="D49" s="258"/>
      <c r="E49" s="258"/>
      <c r="F49" s="259"/>
      <c r="G49" s="82" t="s">
        <v>142</v>
      </c>
      <c r="H49" s="71"/>
      <c r="I49" s="71"/>
      <c r="J49" s="82" t="s">
        <v>142</v>
      </c>
      <c r="K49" s="71"/>
      <c r="L49"/>
      <c r="M49" s="151">
        <f>P44</f>
        <v>4596.7577499999998</v>
      </c>
      <c r="N49" s="152">
        <v>0.5</v>
      </c>
      <c r="O49" s="152">
        <v>0.08</v>
      </c>
      <c r="P49" s="153">
        <f>M49*N49*O49</f>
        <v>183.87030999999999</v>
      </c>
      <c r="Q49" s="75">
        <v>0.5</v>
      </c>
      <c r="R49" s="154">
        <f>P49*Q49</f>
        <v>91.935154999999995</v>
      </c>
      <c r="S49" s="149"/>
      <c r="T49" s="150"/>
      <c r="U49" s="150"/>
      <c r="V49" s="146"/>
      <c r="W49" s="146"/>
      <c r="X49" s="146"/>
    </row>
    <row r="50" spans="2:24" x14ac:dyDescent="0.25">
      <c r="B50" s="312" t="s">
        <v>110</v>
      </c>
      <c r="C50" s="240"/>
      <c r="D50" s="240"/>
      <c r="E50" s="240"/>
      <c r="F50" s="313"/>
      <c r="G50" s="260">
        <f>G10*2.53%</f>
        <v>8.5276180000000004</v>
      </c>
      <c r="H50"/>
      <c r="I50"/>
      <c r="J50" s="260">
        <f>J10*2.53%</f>
        <v>8.5276180000000004</v>
      </c>
      <c r="K50"/>
      <c r="L50"/>
      <c r="M50" s="240" t="s">
        <v>134</v>
      </c>
      <c r="N50" s="240"/>
      <c r="O50" s="240"/>
      <c r="P50" s="240"/>
      <c r="Q50" s="240"/>
      <c r="R50" s="240"/>
      <c r="S50" s="240"/>
      <c r="T50" s="155"/>
      <c r="U50" s="155"/>
      <c r="V50" s="155"/>
      <c r="W50" s="155"/>
      <c r="X50" s="155"/>
    </row>
    <row r="51" spans="2:24" ht="28.5" customHeight="1" x14ac:dyDescent="0.25">
      <c r="B51" s="314"/>
      <c r="C51" s="315"/>
      <c r="D51" s="315"/>
      <c r="E51" s="315"/>
      <c r="F51" s="316"/>
      <c r="G51" s="261"/>
      <c r="H51"/>
      <c r="I51"/>
      <c r="J51" s="261"/>
      <c r="K51"/>
      <c r="L51"/>
      <c r="M51" s="240"/>
      <c r="N51" s="240"/>
      <c r="O51" s="240"/>
      <c r="P51" s="240"/>
      <c r="Q51" s="240"/>
      <c r="R51" s="240"/>
      <c r="S51" s="240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8.5276180000000004</v>
      </c>
      <c r="H52"/>
      <c r="I52"/>
      <c r="J52" s="81">
        <f>SUM(J49:J51)</f>
        <v>8.5276180000000004</v>
      </c>
      <c r="K52"/>
      <c r="L52"/>
      <c r="M52" s="265" t="s">
        <v>175</v>
      </c>
      <c r="N52" s="265"/>
      <c r="O52" s="265"/>
      <c r="P52" s="265"/>
      <c r="Q52" s="265"/>
      <c r="R52" s="265"/>
      <c r="S52" s="265"/>
      <c r="T52" s="265"/>
      <c r="U52" s="155"/>
      <c r="V52" s="155"/>
      <c r="W52" s="155"/>
      <c r="X52" s="155"/>
    </row>
    <row r="53" spans="2:24" x14ac:dyDescent="0.25">
      <c r="B53" s="266" t="s">
        <v>114</v>
      </c>
      <c r="C53" s="266"/>
      <c r="D53" s="266"/>
      <c r="E53" s="266"/>
      <c r="F53" s="146"/>
      <c r="G53" s="134">
        <f>G52*E35</f>
        <v>3.1381634240000005</v>
      </c>
      <c r="H53"/>
      <c r="I53"/>
      <c r="J53" s="134">
        <f>J52*I35</f>
        <v>2.6435615800000001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267" t="s">
        <v>112</v>
      </c>
      <c r="C54" s="267"/>
      <c r="D54" s="267"/>
      <c r="E54" s="267"/>
      <c r="F54" s="267"/>
      <c r="G54" s="55">
        <f>SUM(G50:G53)</f>
        <v>20.193399424000003</v>
      </c>
      <c r="H54"/>
      <c r="I54"/>
      <c r="J54" s="55">
        <f>SUM(J50:J53)</f>
        <v>19.698797580000001</v>
      </c>
      <c r="K54"/>
      <c r="L54"/>
      <c r="M54" s="262" t="s">
        <v>135</v>
      </c>
      <c r="N54" s="263"/>
      <c r="O54" s="263"/>
      <c r="P54" s="264"/>
      <c r="Q54" s="157" t="s">
        <v>130</v>
      </c>
      <c r="R54" s="158">
        <f>G6+G15+G22+O25+G30+G31+G32+G33+G36+G34</f>
        <v>4989.9781799999992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137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268" t="s">
        <v>115</v>
      </c>
      <c r="C56" s="269"/>
      <c r="D56" s="269"/>
      <c r="E56" s="269"/>
      <c r="F56" s="270"/>
      <c r="G56" s="122" t="s">
        <v>78</v>
      </c>
      <c r="H56"/>
      <c r="I56"/>
      <c r="J56" s="122" t="s">
        <v>78</v>
      </c>
      <c r="K56"/>
      <c r="L56"/>
      <c r="M56" s="160" t="s">
        <v>120</v>
      </c>
      <c r="N56" s="160" t="s">
        <v>121</v>
      </c>
      <c r="O56" s="160" t="s">
        <v>122</v>
      </c>
      <c r="P56" s="161" t="s">
        <v>123</v>
      </c>
      <c r="Q56" s="161" t="s">
        <v>124</v>
      </c>
      <c r="R56" s="161" t="s">
        <v>125</v>
      </c>
      <c r="S56" s="161" t="s">
        <v>126</v>
      </c>
      <c r="T56" s="162" t="s">
        <v>138</v>
      </c>
      <c r="U56" s="163"/>
      <c r="V56"/>
      <c r="W56"/>
      <c r="X56"/>
    </row>
    <row r="57" spans="2:24" x14ac:dyDescent="0.25">
      <c r="B57" s="253" t="s">
        <v>77</v>
      </c>
      <c r="C57" s="253"/>
      <c r="D57" s="253"/>
      <c r="E57" s="253"/>
      <c r="F57" s="68"/>
      <c r="G57" s="69">
        <f>G6</f>
        <v>3263.97</v>
      </c>
      <c r="H57"/>
      <c r="I57"/>
      <c r="J57" s="69">
        <f>J6</f>
        <v>3263.97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6486.9716339999986</v>
      </c>
      <c r="Q57" s="78">
        <f>Q44</f>
        <v>47.43</v>
      </c>
      <c r="R57" s="165">
        <f>P57/Q57</f>
        <v>136.76937874762805</v>
      </c>
      <c r="S57" s="79">
        <v>0.5</v>
      </c>
      <c r="T57" s="166">
        <f>R57*S57</f>
        <v>68.384689373814027</v>
      </c>
      <c r="U57" s="146"/>
      <c r="V57"/>
      <c r="W57"/>
      <c r="X57"/>
    </row>
    <row r="58" spans="2:24" x14ac:dyDescent="0.25">
      <c r="B58" s="278" t="s">
        <v>80</v>
      </c>
      <c r="C58" s="278"/>
      <c r="D58" s="278"/>
      <c r="E58" s="278"/>
      <c r="F58" s="124"/>
      <c r="G58" s="56">
        <f>G15</f>
        <v>440.00400000000002</v>
      </c>
      <c r="H58"/>
      <c r="I58"/>
      <c r="J58" s="56">
        <f>J15</f>
        <v>440.00400000000002</v>
      </c>
      <c r="K58"/>
      <c r="L58"/>
      <c r="M58" t="s">
        <v>170</v>
      </c>
      <c r="N58"/>
      <c r="O58"/>
      <c r="P58" s="167">
        <f>((R54-(G32+G33))/30)*O57</f>
        <v>6486.9716339999986</v>
      </c>
      <c r="Q58" s="131"/>
      <c r="R58" s="168">
        <f>P58/Q57</f>
        <v>136.76937874762805</v>
      </c>
      <c r="S58"/>
      <c r="T58" s="131">
        <f>R58*S57</f>
        <v>68.384689373814027</v>
      </c>
      <c r="U58"/>
      <c r="V58"/>
      <c r="W58"/>
      <c r="X58"/>
    </row>
    <row r="59" spans="2:24" x14ac:dyDescent="0.25">
      <c r="B59" s="278" t="s">
        <v>87</v>
      </c>
      <c r="C59" s="278"/>
      <c r="D59" s="278"/>
      <c r="E59" s="278"/>
      <c r="F59" s="124"/>
      <c r="G59" s="129">
        <v>0</v>
      </c>
      <c r="H59"/>
      <c r="I59"/>
      <c r="J59" s="129">
        <v>0</v>
      </c>
      <c r="K59"/>
      <c r="L59"/>
      <c r="M59" s="254" t="s">
        <v>107</v>
      </c>
      <c r="N59" s="255"/>
      <c r="O59" s="256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78" t="s">
        <v>90</v>
      </c>
      <c r="C60" s="278"/>
      <c r="D60" s="278"/>
      <c r="E60" s="278"/>
      <c r="F60" s="124"/>
      <c r="G60" s="129">
        <f>G23</f>
        <v>271.9975</v>
      </c>
      <c r="H60"/>
      <c r="I60"/>
      <c r="J60" s="129">
        <f>J23</f>
        <v>271.9975</v>
      </c>
      <c r="K60"/>
      <c r="L60"/>
      <c r="M60" s="170" t="s">
        <v>139</v>
      </c>
      <c r="N60" s="170" t="s">
        <v>131</v>
      </c>
      <c r="O60" s="170" t="s">
        <v>140</v>
      </c>
      <c r="P60" s="140" t="s">
        <v>132</v>
      </c>
      <c r="Q60" s="171" t="s">
        <v>126</v>
      </c>
      <c r="R60" s="171" t="s">
        <v>133</v>
      </c>
      <c r="S60"/>
      <c r="T60"/>
      <c r="U60"/>
      <c r="V60"/>
      <c r="W60"/>
      <c r="X60"/>
    </row>
    <row r="61" spans="2:24" x14ac:dyDescent="0.25">
      <c r="B61" s="281" t="s">
        <v>98</v>
      </c>
      <c r="C61" s="282"/>
      <c r="D61" s="282"/>
      <c r="E61" s="283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6486.9716339999986</v>
      </c>
      <c r="N61" s="173">
        <v>0.5</v>
      </c>
      <c r="O61" s="173">
        <v>0.08</v>
      </c>
      <c r="P61" s="174">
        <f>M61*N61*O61</f>
        <v>259.47886535999993</v>
      </c>
      <c r="Q61" s="80">
        <v>0.5</v>
      </c>
      <c r="R61" s="154">
        <f>P61*Q61</f>
        <v>129.73943267999996</v>
      </c>
      <c r="S61"/>
      <c r="T61"/>
      <c r="U61"/>
      <c r="V61"/>
      <c r="W61"/>
      <c r="X61"/>
    </row>
    <row r="62" spans="2:24" x14ac:dyDescent="0.25">
      <c r="B62" s="278" t="s">
        <v>99</v>
      </c>
      <c r="C62" s="278"/>
      <c r="D62" s="278"/>
      <c r="E62" s="278"/>
      <c r="F62" s="124"/>
      <c r="G62" s="129">
        <f>G37</f>
        <v>1275.12428</v>
      </c>
      <c r="H62"/>
      <c r="I62"/>
      <c r="J62" s="129">
        <f>J37</f>
        <v>1259.3484249999999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78" t="s">
        <v>108</v>
      </c>
      <c r="C63" s="278"/>
      <c r="D63" s="278"/>
      <c r="E63" s="278"/>
      <c r="F63" s="124"/>
      <c r="G63" s="129">
        <f>G46</f>
        <v>367.55984558967737</v>
      </c>
      <c r="H63"/>
      <c r="I63"/>
      <c r="J63" s="129">
        <f>J46</f>
        <v>367.55984558967737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78" t="s">
        <v>117</v>
      </c>
      <c r="C64" s="278"/>
      <c r="D64" s="278"/>
      <c r="E64" s="278"/>
      <c r="F64" s="124"/>
      <c r="G64" s="56">
        <f>G54</f>
        <v>20.193399424000003</v>
      </c>
      <c r="H64"/>
      <c r="I64"/>
      <c r="J64" s="56">
        <f>J54</f>
        <v>19.698797580000001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309" t="s">
        <v>116</v>
      </c>
      <c r="C65" s="310"/>
      <c r="D65" s="310"/>
      <c r="E65" s="310"/>
      <c r="F65" s="311"/>
      <c r="G65" s="57">
        <f>SUM(G57:G64)</f>
        <v>5638.8490250136765</v>
      </c>
      <c r="H65"/>
      <c r="I65"/>
      <c r="J65" s="57">
        <f>SUM(J57:J64)</f>
        <v>5622.5785681696771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143</v>
      </c>
      <c r="C67"/>
      <c r="D67"/>
      <c r="E67"/>
      <c r="F67" t="s">
        <v>13</v>
      </c>
      <c r="G67" s="55">
        <f>G65*Dados!E55</f>
        <v>1366.9937030336184</v>
      </c>
      <c r="H67"/>
      <c r="I67"/>
      <c r="J67" s="55">
        <f>J65*Dados!E55</f>
        <v>1363.0493498593155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144</v>
      </c>
      <c r="F68" t="s">
        <v>14</v>
      </c>
      <c r="G68" s="55">
        <f>(G65*Dados!E57)</f>
        <v>2050.4905545504275</v>
      </c>
      <c r="H68"/>
      <c r="I68"/>
      <c r="J68" s="55">
        <f>J65*Dados!E57</f>
        <v>2044.5740247889732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zoomScaleNormal="100" workbookViewId="0">
      <selection activeCell="K17" sqref="K17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34" t="str">
        <f>Dados!B2</f>
        <v>MUNICÍPIO DE BARÃO DO TRIUNFO</v>
      </c>
      <c r="C2" s="334"/>
      <c r="D2" s="334"/>
      <c r="E2" s="334"/>
      <c r="F2" s="334"/>
      <c r="G2" s="334"/>
    </row>
    <row r="3" spans="2:13" x14ac:dyDescent="0.25">
      <c r="B3" s="338" t="s">
        <v>172</v>
      </c>
      <c r="C3" s="338"/>
      <c r="D3" s="338"/>
      <c r="E3" s="338"/>
      <c r="F3" s="338"/>
      <c r="G3" s="338"/>
    </row>
    <row r="4" spans="2:13" x14ac:dyDescent="0.25">
      <c r="B4" s="334" t="str">
        <f>Dados!C4</f>
        <v>Transporte escolar</v>
      </c>
      <c r="C4" s="334"/>
      <c r="D4" s="334"/>
      <c r="E4" s="334"/>
      <c r="F4" s="334"/>
      <c r="G4" s="334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37" t="str">
        <f>Dados!B18</f>
        <v>ITEM 7- LINHA 7- PASSO GRANDE</v>
      </c>
      <c r="C7" s="337"/>
      <c r="D7" s="337"/>
      <c r="E7" s="337"/>
      <c r="F7" s="337"/>
      <c r="G7" s="337"/>
    </row>
    <row r="8" spans="2:13" ht="30.75" customHeight="1" x14ac:dyDescent="0.25">
      <c r="B8" s="337"/>
      <c r="C8" s="337"/>
      <c r="D8" s="337"/>
      <c r="E8" s="337"/>
      <c r="F8" s="337"/>
      <c r="G8" s="337"/>
    </row>
    <row r="9" spans="2:13" ht="15.75" customHeight="1" x14ac:dyDescent="0.25">
      <c r="B9" s="335" t="s">
        <v>167</v>
      </c>
      <c r="C9" s="336"/>
      <c r="D9" s="336"/>
      <c r="E9" s="336"/>
      <c r="F9" s="91"/>
      <c r="G9" s="25"/>
      <c r="H9" s="92" t="s">
        <v>171</v>
      </c>
      <c r="I9" s="92"/>
      <c r="J9" s="107"/>
      <c r="K9" s="92" t="s">
        <v>170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0" t="s">
        <v>145</v>
      </c>
      <c r="C11" s="320"/>
      <c r="D11" s="320"/>
      <c r="E11" s="3" t="s">
        <v>78</v>
      </c>
      <c r="F11" s="3"/>
      <c r="H11" s="3" t="s">
        <v>78</v>
      </c>
      <c r="I11" s="3"/>
      <c r="K11" s="3" t="s">
        <v>78</v>
      </c>
    </row>
    <row r="12" spans="2:13" x14ac:dyDescent="0.25">
      <c r="B12" s="318" t="s">
        <v>146</v>
      </c>
      <c r="C12" s="318"/>
      <c r="D12" s="318"/>
      <c r="E12" s="95">
        <f>(Dados!E75*Dados!E55)</f>
        <v>1490.9090909090908</v>
      </c>
      <c r="F12" s="100"/>
      <c r="G12" s="98"/>
      <c r="H12" s="95">
        <f t="shared" ref="H12:H17" si="0">E12</f>
        <v>1490.9090909090908</v>
      </c>
      <c r="I12" s="100"/>
      <c r="K12" s="96">
        <f t="shared" ref="K12:K17" si="1">E12</f>
        <v>1490.9090909090908</v>
      </c>
      <c r="M12" s="51"/>
    </row>
    <row r="13" spans="2:13" x14ac:dyDescent="0.25">
      <c r="B13" s="318" t="s">
        <v>147</v>
      </c>
      <c r="C13" s="318"/>
      <c r="D13" s="318"/>
      <c r="E13" s="95">
        <f>Dados!E76*Dados!E55</f>
        <v>981.51515151515139</v>
      </c>
      <c r="F13" s="100"/>
      <c r="G13" s="98"/>
      <c r="H13" s="95">
        <f t="shared" si="0"/>
        <v>981.51515151515139</v>
      </c>
      <c r="I13" s="100"/>
      <c r="K13" s="96">
        <f t="shared" si="1"/>
        <v>981.51515151515139</v>
      </c>
      <c r="M13" s="51"/>
    </row>
    <row r="14" spans="2:13" x14ac:dyDescent="0.25">
      <c r="B14" s="318" t="s">
        <v>148</v>
      </c>
      <c r="C14" s="318"/>
      <c r="D14" s="318"/>
      <c r="E14" s="95">
        <f>(((Dados!E23*1)/Dados!E65)*Dados!E74)*Dados!E11</f>
        <v>4644.2666666666664</v>
      </c>
      <c r="F14" s="100"/>
      <c r="G14" s="98"/>
      <c r="H14" s="95">
        <f t="shared" si="0"/>
        <v>4644.2666666666664</v>
      </c>
      <c r="I14" s="100"/>
      <c r="K14" s="96">
        <f t="shared" si="1"/>
        <v>4644.2666666666664</v>
      </c>
    </row>
    <row r="15" spans="2:13" x14ac:dyDescent="0.25">
      <c r="B15" s="318" t="s">
        <v>49</v>
      </c>
      <c r="C15" s="318"/>
      <c r="D15" s="318"/>
      <c r="E15" s="95">
        <f>E14*Dados!E83</f>
        <v>464.42666666666668</v>
      </c>
      <c r="F15" s="100"/>
      <c r="G15" s="98"/>
      <c r="H15" s="95">
        <f t="shared" si="0"/>
        <v>464.42666666666668</v>
      </c>
      <c r="I15" s="100"/>
      <c r="K15" s="96">
        <f t="shared" si="1"/>
        <v>464.42666666666668</v>
      </c>
    </row>
    <row r="16" spans="2:13" x14ac:dyDescent="0.25">
      <c r="B16" s="318" t="s">
        <v>149</v>
      </c>
      <c r="C16" s="318"/>
      <c r="D16" s="318"/>
      <c r="E16" s="95">
        <f>E14*Dados!E83</f>
        <v>464.42666666666668</v>
      </c>
      <c r="F16" s="100"/>
      <c r="G16" s="98"/>
      <c r="H16" s="95">
        <f t="shared" si="0"/>
        <v>464.42666666666668</v>
      </c>
      <c r="I16" s="100"/>
      <c r="K16" s="96">
        <f t="shared" si="1"/>
        <v>464.42666666666668</v>
      </c>
    </row>
    <row r="17" spans="2:11" x14ac:dyDescent="0.25">
      <c r="B17" s="318" t="s">
        <v>53</v>
      </c>
      <c r="C17" s="318"/>
      <c r="D17" s="318"/>
      <c r="E17" s="95">
        <f>(((Dados!E91*Dados!C91)/Dados!D91)*Dados!E24)</f>
        <v>2048.4531200000001</v>
      </c>
      <c r="F17" s="100"/>
      <c r="G17" s="98"/>
      <c r="H17" s="95">
        <f t="shared" si="0"/>
        <v>2048.4531200000001</v>
      </c>
      <c r="I17" s="100"/>
      <c r="K17" s="96">
        <f t="shared" si="1"/>
        <v>2048.4531200000001</v>
      </c>
    </row>
    <row r="18" spans="2:11" x14ac:dyDescent="0.25">
      <c r="B18" s="325" t="s">
        <v>97</v>
      </c>
      <c r="C18" s="325"/>
      <c r="D18" s="325"/>
      <c r="E18" s="94">
        <f>SUM(E12:E17)</f>
        <v>10093.997362424241</v>
      </c>
      <c r="F18" s="102"/>
      <c r="G18" s="98"/>
      <c r="H18" s="94">
        <f>SUM(H12:H17)</f>
        <v>10093.997362424241</v>
      </c>
      <c r="I18" s="102"/>
      <c r="K18" s="97">
        <f>SUM(K12:K17)</f>
        <v>10093.997362424241</v>
      </c>
    </row>
    <row r="19" spans="2:11" x14ac:dyDescent="0.25">
      <c r="B19" s="331" t="s">
        <v>150</v>
      </c>
      <c r="C19" s="331"/>
      <c r="D19" s="331"/>
      <c r="E19" s="99" t="s">
        <v>78</v>
      </c>
      <c r="F19" s="99"/>
      <c r="G19" s="98"/>
      <c r="H19" s="99" t="s">
        <v>78</v>
      </c>
      <c r="I19" s="99"/>
      <c r="K19" s="99" t="s">
        <v>78</v>
      </c>
    </row>
    <row r="20" spans="2:11" x14ac:dyDescent="0.25">
      <c r="B20" s="332" t="s">
        <v>151</v>
      </c>
      <c r="C20" s="332"/>
      <c r="D20" s="332"/>
      <c r="E20" s="95">
        <f>Motorista!G67</f>
        <v>1366.9937030336184</v>
      </c>
      <c r="F20" s="100"/>
      <c r="G20" s="98"/>
      <c r="H20" s="41">
        <f>E20</f>
        <v>1366.9937030336184</v>
      </c>
      <c r="I20" s="108"/>
      <c r="K20" s="41">
        <f>Motorista!J67</f>
        <v>1363.0493498593155</v>
      </c>
    </row>
    <row r="21" spans="2:11" x14ac:dyDescent="0.25">
      <c r="B21" s="324" t="s">
        <v>97</v>
      </c>
      <c r="C21" s="324"/>
      <c r="D21" s="324"/>
      <c r="E21" s="94">
        <f>SUM(E20:E20)</f>
        <v>1366.9937030336184</v>
      </c>
      <c r="F21" s="102"/>
      <c r="G21" s="98"/>
      <c r="H21" s="58">
        <f>SUM(H20:H20)</f>
        <v>1366.9937030336184</v>
      </c>
      <c r="I21" s="106"/>
      <c r="K21" s="58">
        <f>SUM(K20:K20)</f>
        <v>1363.0493498593155</v>
      </c>
    </row>
    <row r="22" spans="2:11" x14ac:dyDescent="0.25">
      <c r="B22" s="320" t="s">
        <v>72</v>
      </c>
      <c r="C22" s="320"/>
      <c r="D22" s="320"/>
      <c r="E22" s="99"/>
      <c r="F22" s="99"/>
      <c r="G22" s="98"/>
      <c r="H22" s="99"/>
      <c r="I22" s="99"/>
      <c r="K22" s="99"/>
    </row>
    <row r="23" spans="2:11" x14ac:dyDescent="0.25">
      <c r="B23" s="322" t="s">
        <v>176</v>
      </c>
      <c r="C23" s="322"/>
      <c r="D23" s="322"/>
      <c r="E23" s="99" t="s">
        <v>78</v>
      </c>
      <c r="F23" s="99"/>
      <c r="G23" s="98"/>
      <c r="H23" s="99" t="s">
        <v>78</v>
      </c>
      <c r="I23" s="99"/>
      <c r="K23" s="99" t="s">
        <v>78</v>
      </c>
    </row>
    <row r="24" spans="2:11" x14ac:dyDescent="0.25">
      <c r="B24" s="318" t="s">
        <v>38</v>
      </c>
      <c r="C24" s="318"/>
      <c r="D24" s="318"/>
      <c r="E24" s="95">
        <f>(Dados!E69/12)*Dados!E55</f>
        <v>1.6161616161616161</v>
      </c>
      <c r="F24" s="100"/>
      <c r="G24" s="98"/>
      <c r="H24" s="96">
        <f t="shared" ref="H24:H29" si="2">E24</f>
        <v>1.6161616161616161</v>
      </c>
      <c r="I24" s="108"/>
      <c r="K24" s="96">
        <f t="shared" ref="K24:K29" si="3">E24</f>
        <v>1.6161616161616161</v>
      </c>
    </row>
    <row r="25" spans="2:11" x14ac:dyDescent="0.25">
      <c r="B25" s="318" t="s">
        <v>40</v>
      </c>
      <c r="C25" s="318"/>
      <c r="D25" s="318"/>
      <c r="E25" s="95">
        <f>(Dados!E71/12)*Dados!E55</f>
        <v>3.1802020202020196</v>
      </c>
      <c r="F25" s="100"/>
      <c r="G25" s="98"/>
      <c r="H25" s="96">
        <f t="shared" si="2"/>
        <v>3.1802020202020196</v>
      </c>
      <c r="I25" s="108"/>
      <c r="K25" s="96">
        <f t="shared" si="3"/>
        <v>3.1802020202020196</v>
      </c>
    </row>
    <row r="26" spans="2:11" x14ac:dyDescent="0.25">
      <c r="B26" s="318" t="s">
        <v>39</v>
      </c>
      <c r="C26" s="318"/>
      <c r="D26" s="318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18" t="s">
        <v>152</v>
      </c>
      <c r="C27" s="318"/>
      <c r="D27" s="318"/>
      <c r="E27" s="95">
        <f>(Dados!E72/12)*Dados!E55</f>
        <v>4.4444444444444438</v>
      </c>
      <c r="F27" s="100"/>
      <c r="G27" s="98"/>
      <c r="H27" s="96">
        <f t="shared" si="2"/>
        <v>4.4444444444444438</v>
      </c>
      <c r="I27" s="108"/>
      <c r="K27" s="96">
        <f t="shared" si="3"/>
        <v>4.4444444444444438</v>
      </c>
    </row>
    <row r="28" spans="2:11" x14ac:dyDescent="0.25">
      <c r="B28" s="318" t="s">
        <v>153</v>
      </c>
      <c r="C28" s="318"/>
      <c r="D28" s="318"/>
      <c r="E28" s="95">
        <f>(Dados!E73/12)*Dados!E55</f>
        <v>12.929292929292929</v>
      </c>
      <c r="F28" s="100"/>
      <c r="G28" s="98"/>
      <c r="H28" s="96">
        <f t="shared" si="2"/>
        <v>12.929292929292929</v>
      </c>
      <c r="I28" s="108"/>
      <c r="K28" s="96">
        <f t="shared" si="3"/>
        <v>12.929292929292929</v>
      </c>
    </row>
    <row r="29" spans="2:11" x14ac:dyDescent="0.25">
      <c r="B29" s="318" t="s">
        <v>154</v>
      </c>
      <c r="C29" s="318"/>
      <c r="D29" s="318"/>
      <c r="E29" s="95">
        <v>0</v>
      </c>
      <c r="F29" s="100"/>
      <c r="G29" s="98"/>
      <c r="H29" s="96">
        <f t="shared" si="2"/>
        <v>0</v>
      </c>
      <c r="I29" s="108"/>
      <c r="K29" s="96">
        <f t="shared" si="3"/>
        <v>0</v>
      </c>
    </row>
    <row r="30" spans="2:11" x14ac:dyDescent="0.25">
      <c r="B30" s="321" t="s">
        <v>155</v>
      </c>
      <c r="C30" s="321"/>
      <c r="D30" s="321"/>
      <c r="E30" s="95"/>
      <c r="F30" s="100"/>
      <c r="G30" s="98"/>
      <c r="H30" s="96"/>
      <c r="I30" s="108"/>
      <c r="K30" s="96"/>
    </row>
    <row r="31" spans="2:11" x14ac:dyDescent="0.25">
      <c r="B31" s="318" t="s">
        <v>155</v>
      </c>
      <c r="C31" s="318"/>
      <c r="D31" s="318"/>
      <c r="E31" s="95">
        <f>((E18+E21)*Dados!E110)*Dados!E57</f>
        <v>208.38165573559743</v>
      </c>
      <c r="F31" s="100"/>
      <c r="G31" s="98"/>
      <c r="H31" s="96">
        <f>((E18+E21)*Dados!E110)*Dados!E57</f>
        <v>208.38165573559743</v>
      </c>
      <c r="I31" s="108"/>
      <c r="K31" s="96">
        <f>((K18+K21)*Dados!E110)*Dados!E55</f>
        <v>138.87329348222491</v>
      </c>
    </row>
    <row r="32" spans="2:11" x14ac:dyDescent="0.25">
      <c r="B32" s="324" t="s">
        <v>97</v>
      </c>
      <c r="C32" s="324"/>
      <c r="D32" s="324"/>
      <c r="E32" s="94">
        <f>SUM(E24:E31)</f>
        <v>230.55175674569844</v>
      </c>
      <c r="F32" s="102"/>
      <c r="G32" s="98"/>
      <c r="H32" s="97">
        <f>SUM(H24:H31)</f>
        <v>230.55175674569844</v>
      </c>
      <c r="I32" s="106"/>
      <c r="K32" s="97">
        <f>SUM(K24:K31)</f>
        <v>161.04339449232592</v>
      </c>
    </row>
    <row r="33" spans="2:13" x14ac:dyDescent="0.25">
      <c r="B33" s="5" t="s">
        <v>74</v>
      </c>
      <c r="E33" s="99" t="s">
        <v>78</v>
      </c>
      <c r="F33" s="99"/>
      <c r="G33" s="98"/>
      <c r="H33" s="99" t="s">
        <v>78</v>
      </c>
      <c r="K33" s="99" t="s">
        <v>78</v>
      </c>
    </row>
    <row r="34" spans="2:13" x14ac:dyDescent="0.25">
      <c r="B34" s="328"/>
      <c r="C34" s="329"/>
      <c r="D34" s="330"/>
      <c r="E34" s="101">
        <f>(E32+E21+E18)*Dados!E113</f>
        <v>1753.7314233305337</v>
      </c>
      <c r="F34" s="100"/>
      <c r="G34" s="98"/>
      <c r="H34" s="96">
        <f>E34</f>
        <v>1753.7314233305337</v>
      </c>
      <c r="I34" s="108"/>
      <c r="K34" s="96">
        <f>(K32+K21+K18)*Dados!E113</f>
        <v>1742.7135160163823</v>
      </c>
    </row>
    <row r="35" spans="2:13" x14ac:dyDescent="0.25">
      <c r="B35" s="319" t="s">
        <v>97</v>
      </c>
      <c r="C35" s="319"/>
      <c r="D35" s="319"/>
      <c r="E35" s="94">
        <f>SUM(E34)</f>
        <v>1753.7314233305337</v>
      </c>
      <c r="F35" s="102"/>
      <c r="G35" s="98"/>
      <c r="H35" s="97">
        <f>SUM(H34)</f>
        <v>1753.7314233305337</v>
      </c>
      <c r="I35" s="106"/>
      <c r="K35" s="97">
        <f>SUM(K34)</f>
        <v>1742.7135160163823</v>
      </c>
    </row>
    <row r="36" spans="2:13" x14ac:dyDescent="0.25">
      <c r="B36" s="324" t="s">
        <v>97</v>
      </c>
      <c r="C36" s="324"/>
      <c r="D36" s="324"/>
      <c r="E36" s="94">
        <f>E35+E32+E21+E18</f>
        <v>13445.274245534092</v>
      </c>
      <c r="F36" s="102"/>
      <c r="G36" s="98"/>
      <c r="H36" s="97">
        <f>H35+H32+H21+H18</f>
        <v>13445.274245534092</v>
      </c>
      <c r="I36" s="106"/>
      <c r="K36" s="97">
        <f>K35+K32+K21+K18</f>
        <v>13360.803622792264</v>
      </c>
    </row>
    <row r="37" spans="2:13" x14ac:dyDescent="0.25">
      <c r="B37" s="326" t="s">
        <v>161</v>
      </c>
      <c r="C37" s="326"/>
      <c r="D37" s="326"/>
      <c r="E37" s="99" t="s">
        <v>78</v>
      </c>
      <c r="F37" s="98"/>
      <c r="G37" s="98"/>
      <c r="H37" s="99" t="s">
        <v>78</v>
      </c>
      <c r="K37" s="99" t="s">
        <v>78</v>
      </c>
    </row>
    <row r="38" spans="2:13" x14ac:dyDescent="0.25">
      <c r="B38" s="327" t="s">
        <v>156</v>
      </c>
      <c r="C38" s="327"/>
      <c r="D38" s="327"/>
      <c r="E38" s="95">
        <f>E36/((100-14.25)/100)</f>
        <v>15679.620111410019</v>
      </c>
      <c r="F38" s="100"/>
      <c r="G38" s="95"/>
      <c r="H38" s="95">
        <f>H36/((100-8.65)/100)</f>
        <v>14718.417345959599</v>
      </c>
      <c r="J38" s="17"/>
      <c r="K38" s="95">
        <f>K36/((100-7.99)/100)</f>
        <v>14521.034260180702</v>
      </c>
    </row>
    <row r="39" spans="2:13" x14ac:dyDescent="0.25">
      <c r="B39" s="103" t="s">
        <v>157</v>
      </c>
      <c r="C39" s="104"/>
      <c r="D39" s="105">
        <f>Dados!C117</f>
        <v>7.5999999999999998E-2</v>
      </c>
      <c r="E39" s="95">
        <f>E38*D39</f>
        <v>1191.6511284671615</v>
      </c>
      <c r="F39" s="100"/>
      <c r="G39" s="109">
        <f>Dados!D117</f>
        <v>0.03</v>
      </c>
      <c r="H39" s="95">
        <f>H38*G39</f>
        <v>441.55252037878796</v>
      </c>
      <c r="J39" s="50">
        <f>Dados!E117</f>
        <v>2.4199999999999999E-2</v>
      </c>
      <c r="K39" s="95">
        <f>K38*J39</f>
        <v>351.40902909637299</v>
      </c>
    </row>
    <row r="40" spans="2:13" x14ac:dyDescent="0.25">
      <c r="B40" s="103" t="s">
        <v>158</v>
      </c>
      <c r="C40" s="104"/>
      <c r="D40" s="105">
        <f>Dados!C118</f>
        <v>1.6500000000000001E-2</v>
      </c>
      <c r="E40" s="95">
        <f>E38*D40</f>
        <v>258.71373183826535</v>
      </c>
      <c r="F40" s="100"/>
      <c r="G40" s="109">
        <f>Dados!D118</f>
        <v>6.4999999999999997E-3</v>
      </c>
      <c r="H40" s="95">
        <f>H38*G40</f>
        <v>95.669712748737382</v>
      </c>
      <c r="J40" s="50">
        <f>Dados!E118</f>
        <v>5.7000000000000002E-3</v>
      </c>
      <c r="K40" s="95">
        <f>K38*J40</f>
        <v>82.76989528303001</v>
      </c>
    </row>
    <row r="41" spans="2:13" x14ac:dyDescent="0.25">
      <c r="B41" s="103" t="s">
        <v>159</v>
      </c>
      <c r="C41" s="104"/>
      <c r="D41" s="105">
        <f>Dados!C119</f>
        <v>0.05</v>
      </c>
      <c r="E41" s="95">
        <f>E38*D41</f>
        <v>783.981005570501</v>
      </c>
      <c r="F41" s="100"/>
      <c r="G41" s="109">
        <f>Dados!D119</f>
        <v>0.05</v>
      </c>
      <c r="H41" s="95">
        <f>H38*G41</f>
        <v>735.92086729797995</v>
      </c>
      <c r="J41" s="111">
        <f>Dados!E119</f>
        <v>0.05</v>
      </c>
      <c r="K41" s="95">
        <f>K38*J41</f>
        <v>726.05171300903521</v>
      </c>
    </row>
    <row r="42" spans="2:13" x14ac:dyDescent="0.25">
      <c r="B42" s="333" t="s">
        <v>160</v>
      </c>
      <c r="C42" s="333"/>
      <c r="D42" s="333"/>
      <c r="E42" s="94">
        <f>SUM(E39:E41)</f>
        <v>2234.3458658759278</v>
      </c>
      <c r="F42" s="102"/>
      <c r="G42" s="110">
        <f>SUM(G39:G41)</f>
        <v>8.6499999999999994E-2</v>
      </c>
      <c r="H42" s="97">
        <f>SUM(H39:H41)</f>
        <v>1273.1431004255053</v>
      </c>
      <c r="I42" s="5"/>
      <c r="J42" s="112">
        <f>SUM(J39:J41)</f>
        <v>7.9899999999999999E-2</v>
      </c>
      <c r="K42" s="94">
        <f>SUM(K39:K41)</f>
        <v>1160.2306373884383</v>
      </c>
    </row>
    <row r="43" spans="2:13" x14ac:dyDescent="0.25">
      <c r="B43" s="59"/>
      <c r="E43" s="99" t="s">
        <v>78</v>
      </c>
      <c r="F43" s="98"/>
      <c r="G43" s="98"/>
      <c r="H43" s="99" t="s">
        <v>78</v>
      </c>
      <c r="K43" s="99" t="s">
        <v>78</v>
      </c>
    </row>
    <row r="44" spans="2:13" x14ac:dyDescent="0.25">
      <c r="B44" s="323" t="s">
        <v>116</v>
      </c>
      <c r="C44" s="323"/>
      <c r="D44" s="323"/>
      <c r="E44" s="58">
        <f>E42+E36</f>
        <v>15679.62011141002</v>
      </c>
      <c r="F44" s="106"/>
      <c r="H44" s="97">
        <f>H36+H42</f>
        <v>14718.417345959597</v>
      </c>
      <c r="I44" s="5"/>
      <c r="J44" s="5"/>
      <c r="K44" s="97">
        <f>K42+K36</f>
        <v>14521.034260180702</v>
      </c>
    </row>
    <row r="45" spans="2:13" x14ac:dyDescent="0.25">
      <c r="D45" s="5" t="s">
        <v>168</v>
      </c>
      <c r="E45" s="58">
        <f>E44/Dados!E24</f>
        <v>6.9998304068794734</v>
      </c>
      <c r="F45" s="106"/>
      <c r="H45" s="97">
        <f>H44/Dados!E24</f>
        <v>6.5707220294462489</v>
      </c>
      <c r="K45" s="97">
        <f>K44/Dados!E24</f>
        <v>6.4826045804378136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6PcXNGch0S4EAA9awhHj04SklzjHEcMEHdThozCfLE+v30uzM6nRBg1RRjvY9XoFdx1wE0u4FH3sNN8If6VUuw==" saltValue="akfTFTqn9E9AgpmYp5oU5Q==" spinCount="100000" sheet="1" formatCells="0" formatColumns="0" formatRows="0" insertColumns="0" insertRows="0" insertHyperlinks="0" deleteColumns="0" deleteRows="0" sort="0" autoFilter="0" pivotTables="0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2023-01-30T15:46:53Z</dcterms:modified>
</cp:coreProperties>
</file>