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F3D1B096-73E3-4612-8E90-B1DE96F4C61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D44" i="1"/>
  <c r="E14" i="4" l="1"/>
  <c r="E16" i="4" s="1"/>
  <c r="G11" i="3"/>
  <c r="E51" i="1"/>
  <c r="D45" i="1"/>
  <c r="D36" i="1"/>
  <c r="D39" i="1" s="1"/>
  <c r="C45" i="1"/>
  <c r="E45" i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<sst xmlns="http://schemas.openxmlformats.org/spreadsheetml/2006/main" count="286" uniqueCount="192">
  <si>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</si>
  <si>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</si>
  <si>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</si>
  <si>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</si>
  <si>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</si>
  <si>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</si>
  <si>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</si>
  <si>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</si>
  <si>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</si>
  <si>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</si>
  <si>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</si>
  <si>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</si>
  <si>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</si>
  <si>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</si>
  <si>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</si>
  <si>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</si>
  <si>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</si>
  <si>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</si>
  <si>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</si>
  <si>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</si>
  <si>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</si>
  <si>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</si>
  <si>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</si>
  <si>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</si>
  <si>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</si>
  <si>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</si>
  <si>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</si>
  <si>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</si>
  <si>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</si>
  <si>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</si>
  <si>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</si>
  <si>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</si>
  <si>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</si>
  <si>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</si>
  <si>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</si>
  <si>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</si>
  <si>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</si>
  <si>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</si>
  <si>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</si>
  <si>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</si>
  <si>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</si>
  <si>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</si>
  <si>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</si>
  <si>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</si>
  <si>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</si>
  <si>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</si>
  <si>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</si>
  <si>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</si>
  <si>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</si>
  <si>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</si>
  <si>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</si>
  <si>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</si>
  <si>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</si>
  <si>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</si>
  <si>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</si>
  <si>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</si>
  <si>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</si>
  <si>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</si>
  <si>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</si>
  <si>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</si>
  <si>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</si>
  <si>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</si>
  <si>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</si>
  <si>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</si>
  <si>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</si>
  <si>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</si>
  <si>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</si>
  <si>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</si>
  <si>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</si>
  <si>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</si>
  <si>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</si>
  <si>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</si>
  <si>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</si>
  <si>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</si>
  <si>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</si>
  <si>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</si>
  <si>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</si>
  <si>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</si>
  <si>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</si>
  <si>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</si>
  <si>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</si>
  <si>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</si>
  <si>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</si>
  <si>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</si>
  <si>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</si>
  <si>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</si>
  <si>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</si>
  <si>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</si>
  <si>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</si>
  <si>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</si>
  <si>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</si>
  <si>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</si>
  <si>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</si>
  <si>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</si>
  <si>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</si>
  <si>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</si>
  <si>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</si>
  <si>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</si>
  <si>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</si>
  <si>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</si>
  <si>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</si>
  <si>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</si>
  <si>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</si>
  <si>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</si>
  <si>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</si>
  <si>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</si>
  <si>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</si>
  <si>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</si>
  <si>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</si>
  <si>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</si>
  <si>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</si>
  <si>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</si>
  <si>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</si>
  <si>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</si>
  <si>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</si>
  <si>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</si>
  <si>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</si>
  <si>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</si>
  <si>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</si>
  <si>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</si>
  <si>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</si>
  <si>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</si>
  <si>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</si>
  <si>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</si>
  <si>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</si>
  <si>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</si>
  <si>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</si>
  <si>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</si>
  <si>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</si>
  <si>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</si>
  <si>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</si>
  <si>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</si>
  <si>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</si>
  <si>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</si>
  <si>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</si>
  <si>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</si>
  <si>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</si>
  <si>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</si>
  <si>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</si>
  <si>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</si>
  <si>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</si>
  <si>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</si>
  <si>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</si>
  <si>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</si>
  <si>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</si>
  <si>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</si>
  <si>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</si>
  <si>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</si>
  <si>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</si>
  <si>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</si>
  <si>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</si>
  <si>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</si>
  <si>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</si>
  <si>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</si>
  <si>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</si>
  <si>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</si>
  <si>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</si>
  <si>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</si>
  <si>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</si>
  <si>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</si>
  <si>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</si>
  <si>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</si>
  <si>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</si>
  <si>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</si>
  <si>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</si>
  <si>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</si>
  <si>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</si>
  <si>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</si>
  <si>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</si>
  <si>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</si>
  <si>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</si>
  <si>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</si>
  <si>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</si>
  <si>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</si>
  <si>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</si>
  <si>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</si>
  <si>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</si>
  <si>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</si>
  <si>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</si>
  <si>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</si>
  <si>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</si>
  <si>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</si>
  <si>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</si>
  <si>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</si>
  <si>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</si>
  <si>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</si>
  <si>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Tarde</t>
  </si>
  <si>
    <t>DADOS DA CONTRATAÇÃO: LINHA 04</t>
  </si>
  <si>
    <t>ITEM 04- LINHA 04- ADÃO NUNES</t>
  </si>
  <si>
    <t>ÔNIBUS</t>
  </si>
  <si>
    <t>DIESEL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</si>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</sst>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95" zoomScaleNormal="100" zoomScaleSheetLayoutView="100" workbookViewId="0">
      <selection activeCell="G52" sqref="G52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187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186</v>
      </c>
      <c r="C15" s="216"/>
      <c r="D15" s="265">
        <v>50</v>
      </c>
      <c r="E15" s="265"/>
    </row>
    <row r="17" spans="1:9" ht="15.75" customHeight="1" x14ac:dyDescent="0.25">
      <c r="B17" s="254" t="s">
        <v>185</v>
      </c>
      <c r="C17" s="255"/>
      <c r="D17" s="1"/>
      <c r="E17" s="2"/>
    </row>
    <row r="18" spans="1:9" ht="15" customHeight="1" x14ac:dyDescent="0.25">
      <c r="B18" s="260" t="s">
        <v>188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44</v>
      </c>
      <c r="D23" s="51">
        <v>44</v>
      </c>
      <c r="E23" s="51">
        <v>88</v>
      </c>
    </row>
    <row r="24" spans="1:9" x14ac:dyDescent="0.25">
      <c r="B24" s="13" t="s">
        <v>24</v>
      </c>
      <c r="C24" s="105">
        <f>C23*E11</f>
        <v>836</v>
      </c>
      <c r="D24" s="51">
        <f>D23*E11</f>
        <v>836</v>
      </c>
      <c r="E24" s="51">
        <f>C24+D24</f>
        <v>1672</v>
      </c>
    </row>
    <row r="25" spans="1:9" x14ac:dyDescent="0.25">
      <c r="B25" s="13" t="s">
        <v>56</v>
      </c>
      <c r="C25" s="105">
        <f>C23*E9</f>
        <v>4048</v>
      </c>
      <c r="D25" s="51">
        <f>D23*E9</f>
        <v>4048</v>
      </c>
      <c r="E25" s="51">
        <f>C25+D25</f>
        <v>8096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0.49305555555555558</v>
      </c>
      <c r="D30" s="14">
        <v>0.54166666666666663</v>
      </c>
      <c r="E30" s="14">
        <f>D30-C30</f>
        <v>4.8611111111111049E-2</v>
      </c>
    </row>
    <row r="31" spans="1:9" x14ac:dyDescent="0.25">
      <c r="B31" s="204" t="s">
        <v>180</v>
      </c>
      <c r="C31" s="205">
        <v>0.70833333333333337</v>
      </c>
      <c r="D31" s="206">
        <v>0.75694444444444453</v>
      </c>
      <c r="E31" s="14">
        <v>4.8611111111111112E-2</v>
      </c>
    </row>
    <row r="32" spans="1:9" x14ac:dyDescent="0.25">
      <c r="B32" s="256" t="s">
        <v>9</v>
      </c>
      <c r="C32" s="257"/>
      <c r="D32" s="258"/>
      <c r="E32" s="15">
        <f>SUM(E29:E31)</f>
        <v>0.13888888888888884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6.9444444444444434E-2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4.8611111111111049E-2</v>
      </c>
      <c r="D37" s="19">
        <f>(C31-D30)-D106</f>
        <v>6.2500000000000069E-2</v>
      </c>
      <c r="E37" s="19">
        <f>C37+D37</f>
        <v>0.11111111111111112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9.0277777777777735E-2</v>
      </c>
      <c r="D39" s="208">
        <f>SUM(D36:D38)</f>
        <v>0.1319444444444445</v>
      </c>
      <c r="E39" s="21">
        <f>SUM(E36:E38)</f>
        <v>0.22222222222222224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1.0000000000000004</v>
      </c>
      <c r="D43" s="57">
        <f>D36*24</f>
        <v>1.6666666666666665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1.1666666666666652</v>
      </c>
      <c r="D44" s="19">
        <f>D37*24</f>
        <v>1.5000000000000018</v>
      </c>
      <c r="E44" s="57">
        <f>C44+D44</f>
        <v>2.666666666666667</v>
      </c>
    </row>
    <row r="45" spans="2:9" x14ac:dyDescent="0.25">
      <c r="B45" s="18" t="s">
        <v>180</v>
      </c>
      <c r="C45" s="57">
        <f>C38*24</f>
        <v>0</v>
      </c>
      <c r="D45" s="24">
        <f>D38*24</f>
        <v>0</v>
      </c>
      <c r="E45" s="57">
        <f>E31*24</f>
        <v>1.1666666666666667</v>
      </c>
    </row>
    <row r="46" spans="2:9" x14ac:dyDescent="0.25">
      <c r="B46" s="18"/>
      <c r="C46" s="209">
        <f>SUM(C43:C45)</f>
        <v>2.1666666666666656</v>
      </c>
      <c r="D46" s="209">
        <f>SUM(D43:D45)</f>
        <v>3.1666666666666683</v>
      </c>
      <c r="E46" s="209">
        <f>SUM(E43:E45)</f>
        <v>6.5000000000000009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41.16666666666665</v>
      </c>
      <c r="D50" s="26">
        <f>(D43+D44+G50)*E11</f>
        <v>60.1666666666667</v>
      </c>
      <c r="E50" s="27">
        <f>C50+D50</f>
        <v>101.33333333333334</v>
      </c>
    </row>
    <row r="51" spans="2:10" x14ac:dyDescent="0.25">
      <c r="B51" s="217" t="s">
        <v>171</v>
      </c>
      <c r="C51" s="240"/>
      <c r="D51" s="241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40"/>
      <c r="D52" s="241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40"/>
      <c r="D53" s="241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40"/>
      <c r="D54" s="241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40"/>
      <c r="D55" s="241"/>
      <c r="E55" s="27">
        <f>(C50*E53)/E52</f>
        <v>0.18712121212121205</v>
      </c>
      <c r="I55" s="130"/>
      <c r="J55" s="127"/>
    </row>
    <row r="56" spans="2:10" x14ac:dyDescent="0.25">
      <c r="B56" s="217" t="s">
        <v>22</v>
      </c>
      <c r="C56" s="240"/>
      <c r="D56" s="241"/>
      <c r="E56" s="27">
        <f>(D50*E53)/E52</f>
        <v>0.27348484848484861</v>
      </c>
      <c r="I56" s="130"/>
      <c r="J56" s="127"/>
    </row>
    <row r="57" spans="2:10" x14ac:dyDescent="0.25">
      <c r="B57" s="242" t="s">
        <v>23</v>
      </c>
      <c r="C57" s="218"/>
      <c r="D57" s="219"/>
      <c r="E57" s="31">
        <f>SUM(E55:E56)</f>
        <v>0.46060606060606069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189</v>
      </c>
    </row>
    <row r="62" spans="2:10" x14ac:dyDescent="0.25">
      <c r="B62" s="217" t="s">
        <v>29</v>
      </c>
      <c r="C62" s="240"/>
      <c r="D62" s="241"/>
      <c r="E62" s="35">
        <f>D15</f>
        <v>50</v>
      </c>
    </row>
    <row r="63" spans="2:10" x14ac:dyDescent="0.25">
      <c r="B63" s="217" t="s">
        <v>30</v>
      </c>
      <c r="C63" s="240"/>
      <c r="D63" s="241"/>
      <c r="E63" s="35" t="s">
        <v>190</v>
      </c>
    </row>
    <row r="64" spans="2:10" x14ac:dyDescent="0.25">
      <c r="B64" s="217" t="s">
        <v>31</v>
      </c>
      <c r="C64" s="240"/>
      <c r="D64" s="241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2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7" t="s">
        <v>36</v>
      </c>
      <c r="C69" s="240"/>
      <c r="D69" s="43">
        <v>1</v>
      </c>
      <c r="E69" s="27">
        <v>80</v>
      </c>
    </row>
    <row r="70" spans="2:9" x14ac:dyDescent="0.25">
      <c r="B70" s="217" t="s">
        <v>37</v>
      </c>
      <c r="C70" s="240"/>
      <c r="D70" s="43">
        <v>1</v>
      </c>
      <c r="E70" s="27" t="s">
        <v>44</v>
      </c>
    </row>
    <row r="71" spans="2:9" x14ac:dyDescent="0.25">
      <c r="B71" s="217" t="s">
        <v>38</v>
      </c>
      <c r="C71" s="240"/>
      <c r="D71" s="43">
        <v>1</v>
      </c>
      <c r="E71" s="27">
        <v>37.9</v>
      </c>
    </row>
    <row r="72" spans="2:9" x14ac:dyDescent="0.25">
      <c r="B72" s="236" t="s">
        <v>39</v>
      </c>
      <c r="C72" s="236"/>
      <c r="D72" s="43">
        <v>2</v>
      </c>
      <c r="E72" s="28">
        <v>282.32</v>
      </c>
    </row>
    <row r="73" spans="2:9" x14ac:dyDescent="0.25">
      <c r="B73" s="237" t="s">
        <v>40</v>
      </c>
      <c r="C73" s="238"/>
      <c r="D73" s="43">
        <v>1</v>
      </c>
      <c r="E73" s="27">
        <v>330</v>
      </c>
    </row>
    <row r="74" spans="2:9" x14ac:dyDescent="0.25">
      <c r="B74" s="234" t="s">
        <v>30</v>
      </c>
      <c r="C74" s="235"/>
      <c r="D74" s="43">
        <v>1</v>
      </c>
      <c r="E74" s="33">
        <v>7.61</v>
      </c>
    </row>
    <row r="75" spans="2:9" x14ac:dyDescent="0.25">
      <c r="B75" s="239" t="s">
        <v>163</v>
      </c>
      <c r="C75" s="239"/>
      <c r="D75" s="53">
        <v>0.25</v>
      </c>
      <c r="E75" s="42">
        <f>((E68-E78)*D75)/12</f>
        <v>9416.6666666666661</v>
      </c>
      <c r="I75" s="61"/>
    </row>
    <row r="76" spans="2:9" x14ac:dyDescent="0.25">
      <c r="B76" s="239" t="s">
        <v>164</v>
      </c>
      <c r="C76" s="239"/>
      <c r="D76" s="53">
        <v>0.12</v>
      </c>
      <c r="E76" s="42">
        <f>(((E68-E78)-E75)*D76)/12</f>
        <v>4425.833333333333</v>
      </c>
      <c r="I76" s="61"/>
    </row>
    <row r="77" spans="2:9" x14ac:dyDescent="0.25">
      <c r="B77" s="234" t="s">
        <v>45</v>
      </c>
      <c r="C77" s="235"/>
      <c r="D77" s="53" t="s">
        <v>46</v>
      </c>
      <c r="E77" s="42">
        <v>17</v>
      </c>
    </row>
    <row r="78" spans="2:9" x14ac:dyDescent="0.25">
      <c r="B78" s="239" t="s">
        <v>41</v>
      </c>
      <c r="C78" s="239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28" t="s">
        <v>34</v>
      </c>
      <c r="C82" s="229"/>
      <c r="D82" s="229"/>
      <c r="E82" s="230"/>
    </row>
    <row r="83" spans="1:5" x14ac:dyDescent="0.25">
      <c r="B83" s="231" t="s">
        <v>48</v>
      </c>
      <c r="C83" s="232"/>
      <c r="D83" s="233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28" t="s">
        <v>34</v>
      </c>
      <c r="C86" s="229"/>
      <c r="D86" s="229"/>
      <c r="E86" s="230"/>
    </row>
    <row r="87" spans="1:5" x14ac:dyDescent="0.25">
      <c r="B87" s="231" t="s">
        <v>48</v>
      </c>
      <c r="C87" s="232"/>
      <c r="D87" s="233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191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31" t="s">
        <v>62</v>
      </c>
      <c r="C99" s="232"/>
      <c r="D99" s="233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17.739999999999998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119.85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183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82:E82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2811.4449999999997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855.9660541534214</v>
      </c>
      <c r="H67" s="140"/>
      <c r="I67" s="140"/>
      <c r="J67" s="65">
        <f>J65*Dados!E55</f>
        <v>853.52637305836981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2106.9933640699614</v>
      </c>
      <c r="H68" s="140"/>
      <c r="I68" s="140"/>
      <c r="J68" s="65">
        <f>J65*Dados!E57</f>
        <v>2100.9879952206038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04- LINHA 04- ADÃO NUNES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1762.0580808080799</v>
      </c>
      <c r="F12" s="113"/>
      <c r="G12" s="111"/>
      <c r="H12" s="107">
        <f t="shared" ref="H12:H17" si="0">E12</f>
        <v>1762.0580808080799</v>
      </c>
      <c r="I12" s="113"/>
      <c r="K12" s="108">
        <f t="shared" ref="K12:K17" si="1">E12</f>
        <v>1762.0580808080799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828.16729797979758</v>
      </c>
      <c r="F13" s="113"/>
      <c r="G13" s="111"/>
      <c r="H13" s="107">
        <f t="shared" si="0"/>
        <v>828.16729797979758</v>
      </c>
      <c r="I13" s="113"/>
      <c r="K13" s="108">
        <f t="shared" si="1"/>
        <v>828.16729797979758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4241.3066666666664</v>
      </c>
      <c r="F14" s="113"/>
      <c r="G14" s="111"/>
      <c r="H14" s="107">
        <f t="shared" si="0"/>
        <v>4241.3066666666664</v>
      </c>
      <c r="I14" s="113"/>
      <c r="K14" s="108">
        <f t="shared" si="1"/>
        <v>4241.3066666666664</v>
      </c>
    </row>
    <row r="15" spans="2:13" x14ac:dyDescent="0.25">
      <c r="B15" s="365" t="s">
        <v>47</v>
      </c>
      <c r="C15" s="365"/>
      <c r="D15" s="365"/>
      <c r="E15" s="107">
        <f>E14*Dados!E83</f>
        <v>424.13066666666668</v>
      </c>
      <c r="F15" s="113"/>
      <c r="G15" s="111"/>
      <c r="H15" s="107">
        <f t="shared" si="0"/>
        <v>424.13066666666668</v>
      </c>
      <c r="I15" s="113"/>
      <c r="K15" s="108">
        <f t="shared" si="1"/>
        <v>424.13066666666668</v>
      </c>
    </row>
    <row r="16" spans="2:13" x14ac:dyDescent="0.25">
      <c r="B16" s="365" t="s">
        <v>147</v>
      </c>
      <c r="C16" s="365"/>
      <c r="D16" s="365"/>
      <c r="E16" s="107">
        <f>E14*Dados!E83</f>
        <v>424.13066666666668</v>
      </c>
      <c r="F16" s="113"/>
      <c r="G16" s="111"/>
      <c r="H16" s="107">
        <f t="shared" si="0"/>
        <v>424.13066666666668</v>
      </c>
      <c r="I16" s="113"/>
      <c r="K16" s="108">
        <f t="shared" si="1"/>
        <v>424.13066666666668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1789.5750400000002</v>
      </c>
      <c r="F17" s="113"/>
      <c r="G17" s="111"/>
      <c r="H17" s="107">
        <f t="shared" si="0"/>
        <v>1789.5750400000002</v>
      </c>
      <c r="I17" s="113"/>
      <c r="K17" s="108">
        <f t="shared" si="1"/>
        <v>1789.5750400000002</v>
      </c>
    </row>
    <row r="18" spans="2:11" x14ac:dyDescent="0.25">
      <c r="B18" s="359" t="s">
        <v>95</v>
      </c>
      <c r="C18" s="359"/>
      <c r="D18" s="359"/>
      <c r="E18" s="106">
        <f>SUM(E12:E17)</f>
        <v>9469.3684187878771</v>
      </c>
      <c r="F18" s="115"/>
      <c r="G18" s="111"/>
      <c r="H18" s="106">
        <f>SUM(H12:H17)</f>
        <v>9469.3684187878771</v>
      </c>
      <c r="I18" s="115"/>
      <c r="K18" s="109">
        <f>SUM(K12:K17)</f>
        <v>9469.3684187878771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855.9660541534214</v>
      </c>
      <c r="F20" s="113"/>
      <c r="G20" s="111"/>
      <c r="H20" s="50">
        <f>E20</f>
        <v>855.9660541534214</v>
      </c>
      <c r="I20" s="121"/>
      <c r="K20" s="50">
        <f>Motorista!J67</f>
        <v>853.52637305836981</v>
      </c>
    </row>
    <row r="21" spans="2:11" x14ac:dyDescent="0.25">
      <c r="B21" s="358" t="s">
        <v>95</v>
      </c>
      <c r="C21" s="358"/>
      <c r="D21" s="358"/>
      <c r="E21" s="106">
        <f>SUM(E20:E20)</f>
        <v>855.9660541534214</v>
      </c>
      <c r="F21" s="115"/>
      <c r="G21" s="111"/>
      <c r="H21" s="68">
        <f>SUM(H20:H20)</f>
        <v>855.9660541534214</v>
      </c>
      <c r="I21" s="122"/>
      <c r="K21" s="68">
        <f>SUM(K20:K20)</f>
        <v>853.52637305836981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1.247474747474747</v>
      </c>
      <c r="F24" s="113"/>
      <c r="G24" s="111"/>
      <c r="H24" s="108">
        <f t="shared" ref="H24:H29" si="2">E24</f>
        <v>1.247474747474747</v>
      </c>
      <c r="I24" s="121"/>
      <c r="K24" s="108">
        <f t="shared" ref="K24:K29" si="3">E24</f>
        <v>1.247474747474747</v>
      </c>
    </row>
    <row r="25" spans="2:11" x14ac:dyDescent="0.25">
      <c r="B25" s="365" t="s">
        <v>38</v>
      </c>
      <c r="C25" s="365"/>
      <c r="D25" s="365"/>
      <c r="E25" s="107">
        <f>(Dados!E71/12)*Dados!E55</f>
        <v>0.59099116161616139</v>
      </c>
      <c r="F25" s="113"/>
      <c r="G25" s="111"/>
      <c r="H25" s="108">
        <f t="shared" si="2"/>
        <v>0.59099116161616139</v>
      </c>
      <c r="I25" s="121"/>
      <c r="K25" s="108">
        <f t="shared" si="3"/>
        <v>0.59099116161616139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4.4023383838383818</v>
      </c>
      <c r="F27" s="113"/>
      <c r="G27" s="111"/>
      <c r="H27" s="108">
        <f t="shared" si="2"/>
        <v>4.4023383838383818</v>
      </c>
      <c r="I27" s="121"/>
      <c r="K27" s="108">
        <f t="shared" si="3"/>
        <v>4.4023383838383818</v>
      </c>
    </row>
    <row r="28" spans="2:11" x14ac:dyDescent="0.25">
      <c r="B28" s="365" t="s">
        <v>151</v>
      </c>
      <c r="C28" s="365"/>
      <c r="D28" s="365"/>
      <c r="E28" s="107">
        <f>(Dados!E73/12)*Dados!E55</f>
        <v>5.1458333333333313</v>
      </c>
      <c r="F28" s="113"/>
      <c r="G28" s="111"/>
      <c r="H28" s="108">
        <f t="shared" si="2"/>
        <v>5.1458333333333313</v>
      </c>
      <c r="I28" s="121"/>
      <c r="K28" s="108">
        <f t="shared" si="3"/>
        <v>5.1458333333333313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237.79558180107239</v>
      </c>
      <c r="F31" s="113"/>
      <c r="G31" s="111"/>
      <c r="H31" s="108">
        <f>((E18+E21)*Dados!E110)*Dados!E57</f>
        <v>237.79558180107239</v>
      </c>
      <c r="I31" s="121"/>
      <c r="K31" s="108">
        <f>((K18+K21)*Dados!E110)*Dados!E55</f>
        <v>96.581629302500843</v>
      </c>
    </row>
    <row r="32" spans="2:11" x14ac:dyDescent="0.25">
      <c r="B32" s="358" t="s">
        <v>95</v>
      </c>
      <c r="C32" s="358"/>
      <c r="D32" s="358"/>
      <c r="E32" s="106">
        <f>SUM(E24:E31)</f>
        <v>249.18221942733501</v>
      </c>
      <c r="F32" s="115"/>
      <c r="G32" s="111"/>
      <c r="H32" s="109">
        <f>SUM(H24:H31)</f>
        <v>249.18221942733501</v>
      </c>
      <c r="I32" s="122"/>
      <c r="K32" s="109">
        <f>SUM(K24:K31)</f>
        <v>107.96826692876347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1586.1775038552951</v>
      </c>
      <c r="F34" s="113"/>
      <c r="G34" s="111"/>
      <c r="H34" s="108">
        <f>E34</f>
        <v>1586.1775038552951</v>
      </c>
      <c r="I34" s="121"/>
      <c r="K34" s="108">
        <f>(K32+K21+K18)*Dados!E113</f>
        <v>1564.6294588162516</v>
      </c>
    </row>
    <row r="35" spans="2:13" x14ac:dyDescent="0.25">
      <c r="B35" s="369" t="s">
        <v>95</v>
      </c>
      <c r="C35" s="369"/>
      <c r="D35" s="369"/>
      <c r="E35" s="106">
        <f>SUM(E34)</f>
        <v>1586.1775038552951</v>
      </c>
      <c r="F35" s="115"/>
      <c r="G35" s="111"/>
      <c r="H35" s="109">
        <f>SUM(H34)</f>
        <v>1586.1775038552951</v>
      </c>
      <c r="I35" s="122"/>
      <c r="K35" s="109">
        <f>SUM(K34)</f>
        <v>1564.6294588162516</v>
      </c>
    </row>
    <row r="36" spans="2:13" x14ac:dyDescent="0.25">
      <c r="B36" s="358" t="s">
        <v>95</v>
      </c>
      <c r="C36" s="358"/>
      <c r="D36" s="358"/>
      <c r="E36" s="106">
        <f>E35+E32+E21+E18</f>
        <v>12160.694196223929</v>
      </c>
      <c r="F36" s="115"/>
      <c r="G36" s="111"/>
      <c r="H36" s="109">
        <f>H35+H32+H21+H18</f>
        <v>12160.694196223929</v>
      </c>
      <c r="I36" s="122"/>
      <c r="K36" s="109">
        <f>K35+K32+K21+K18</f>
        <v>11995.492517591261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14181.567575771345</v>
      </c>
      <c r="F38" s="113"/>
      <c r="G38" s="107"/>
      <c r="H38" s="107">
        <f>H36/((100-8.65)/100)</f>
        <v>13312.199448520996</v>
      </c>
      <c r="J38" s="18"/>
      <c r="K38" s="107">
        <f>K36/((100-7.99)/100)</f>
        <v>13037.161740670863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1077.7991357586222</v>
      </c>
      <c r="F39" s="113"/>
      <c r="G39" s="123">
        <f>Dados!D117</f>
        <v>0.03</v>
      </c>
      <c r="H39" s="107">
        <f>H38*G39</f>
        <v>399.36598345562987</v>
      </c>
      <c r="J39" s="59">
        <f>Dados!E117</f>
        <v>2.4199999999999999E-2</v>
      </c>
      <c r="K39" s="107">
        <f>K38*J39</f>
        <v>315.4993141242349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233.99586500022721</v>
      </c>
      <c r="F40" s="113"/>
      <c r="G40" s="123">
        <f>Dados!D118</f>
        <v>6.4999999999999997E-3</v>
      </c>
      <c r="H40" s="107">
        <f>H38*G40</f>
        <v>86.529296415386469</v>
      </c>
      <c r="J40" s="59">
        <f>Dados!E118</f>
        <v>5.7000000000000002E-3</v>
      </c>
      <c r="K40" s="107">
        <f>K38*J40</f>
        <v>74.31182192182392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709.07837878856731</v>
      </c>
      <c r="F41" s="113"/>
      <c r="G41" s="123">
        <f>Dados!D119</f>
        <v>0.05</v>
      </c>
      <c r="H41" s="107">
        <f>H38*G41</f>
        <v>665.60997242604981</v>
      </c>
      <c r="J41" s="125">
        <f>Dados!E119</f>
        <v>0.05</v>
      </c>
      <c r="K41" s="107">
        <f>K38*J41</f>
        <v>651.85808703354314</v>
      </c>
    </row>
    <row r="42" spans="2:13" x14ac:dyDescent="0.25">
      <c r="B42" s="368" t="s">
        <v>158</v>
      </c>
      <c r="C42" s="368"/>
      <c r="D42" s="368"/>
      <c r="E42" s="106">
        <f>SUM(E39:E41)</f>
        <v>2020.8733795474168</v>
      </c>
      <c r="F42" s="115"/>
      <c r="G42" s="124">
        <f>SUM(G39:G41)</f>
        <v>8.6499999999999994E-2</v>
      </c>
      <c r="H42" s="109">
        <f>SUM(H39:H41)</f>
        <v>1151.5052522970661</v>
      </c>
      <c r="I42" s="77"/>
      <c r="J42" s="126">
        <f>SUM(J39:J41)</f>
        <v>7.9899999999999999E-2</v>
      </c>
      <c r="K42" s="106">
        <f>SUM(K39:K41)</f>
        <v>1041.669223079602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14181.567575771345</v>
      </c>
      <c r="F44" s="119"/>
      <c r="H44" s="109">
        <f>H36+H42</f>
        <v>13312.199448520994</v>
      </c>
      <c r="I44" s="77"/>
      <c r="J44" s="77"/>
      <c r="K44" s="109">
        <f>K42+K36</f>
        <v>13037.161740670863</v>
      </c>
    </row>
    <row r="45" spans="2:13" x14ac:dyDescent="0.25">
      <c r="B45" s="6"/>
      <c r="C45" s="6"/>
      <c r="D45" s="22" t="s">
        <v>166</v>
      </c>
      <c r="E45" s="68">
        <f>E44/Dados!E24</f>
        <v>8.4817987893369295</v>
      </c>
      <c r="F45" s="119"/>
      <c r="H45" s="109">
        <f>H44/Dados!E24</f>
        <v>7.9618417754312167</v>
      </c>
      <c r="K45" s="109">
        <f>K44/Dados!E24</f>
        <v>7.797345538678746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2tAvDCH5tBykWV1I6H5djNZGSns4962tyZ3mMrd4zBz9jgOpHkdXqFlqcGdBElhaomGpBarHHcB+TEznuPkOwQ==" saltValue="HarHumDbI0QvAYo+LELlFw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2022-07-22T12:22:38Z</dcterms:modified>
</cp:coreProperties>
</file>