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45E507B5-454B-4F6C-9E37-0109BA562FF0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<sst xmlns="http://schemas.openxmlformats.org/spreadsheetml/2006/main" count="285" uniqueCount="192">
  <si>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</si>
  <si>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</si>
  <si>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</si>
  <si>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</si>
  <si>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</si>
  <si>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</si>
  <si>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</si>
  <si>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</si>
  <si>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</si>
  <si>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</si>
  <si>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</si>
  <si>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</si>
  <si>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</si>
  <si>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</si>
  <si>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</si>
  <si>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</si>
  <si>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</si>
  <si>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</si>
  <si>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</si>
  <si>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</si>
  <si>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</si>
  <si>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</si>
  <si>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</si>
  <si>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</si>
  <si>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</si>
  <si>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</si>
  <si>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</si>
  <si>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</si>
  <si>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</si>
  <si>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</si>
  <si>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</si>
  <si>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</si>
  <si>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</si>
  <si>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</si>
  <si>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</si>
  <si>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</si>
  <si>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</si>
  <si>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</si>
  <si>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</si>
  <si>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</si>
  <si>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</si>
  <si>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</si>
  <si>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</si>
  <si>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</si>
  <si>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</si>
  <si>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</si>
  <si>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</si>
  <si>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</si>
  <si>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</si>
  <si>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</si>
  <si>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</si>
  <si>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</si>
  <si>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</si>
  <si>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</si>
  <si>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</si>
  <si>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</si>
  <si>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</si>
  <si>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</si>
  <si>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</si>
  <si>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</si>
  <si>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</si>
  <si>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</si>
  <si>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</si>
  <si>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</si>
  <si>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</si>
  <si>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</si>
  <si>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</si>
  <si>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</si>
  <si>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</si>
  <si>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</si>
  <si>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</si>
  <si>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</si>
  <si>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</si>
  <si>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</si>
  <si>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</si>
  <si>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</si>
  <si>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</si>
  <si>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</si>
  <si>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</si>
  <si>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</si>
  <si>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</si>
  <si>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</si>
  <si>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</si>
  <si>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</si>
  <si>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</si>
  <si>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</si>
  <si>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</si>
  <si>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</si>
  <si>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</si>
  <si>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</si>
  <si>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</si>
  <si>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</si>
  <si>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</si>
  <si>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</si>
  <si>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</si>
  <si>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</si>
  <si>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</si>
  <si>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</si>
  <si>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</si>
  <si>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</si>
  <si>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</si>
  <si>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</si>
  <si>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</si>
  <si>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</si>
  <si>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</si>
  <si>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</si>
  <si>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</si>
  <si>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</si>
  <si>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</si>
  <si>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</si>
  <si>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</si>
  <si>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</si>
  <si>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</si>
  <si>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</si>
  <si>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</si>
  <si>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</si>
  <si>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</si>
  <si>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</si>
  <si>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</si>
  <si>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</si>
  <si>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</si>
  <si>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</si>
  <si>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</si>
  <si>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</si>
  <si>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</si>
  <si>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</si>
  <si>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</si>
  <si>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</si>
  <si>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</si>
  <si>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</si>
  <si>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</si>
  <si>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</si>
  <si>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</si>
  <si>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</si>
  <si>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</si>
  <si>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</si>
  <si>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</si>
  <si>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</si>
  <si>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</si>
  <si>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</si>
  <si>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</si>
  <si>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</si>
  <si>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</si>
  <si>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</si>
  <si>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</si>
  <si>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</si>
  <si>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</si>
  <si>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</si>
  <si>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</si>
  <si>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</si>
  <si>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</si>
  <si>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</si>
  <si>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</si>
  <si>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</si>
  <si>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</si>
  <si>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</si>
  <si>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</si>
  <si>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</si>
  <si>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</si>
  <si>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</si>
  <si>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</si>
  <si>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</si>
  <si>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</si>
  <si>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</si>
  <si>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</si>
  <si>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</si>
  <si>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</si>
  <si>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</si>
  <si>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</si>
  <si>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</si>
  <si>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</si>
  <si>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</si>
  <si>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</si>
  <si>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</si>
  <si>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</si>
  <si>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</si>
  <si>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</si>
  <si>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</si>
  <si>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</si>
  <si>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</si>
  <si>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</si>
  <si>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</si>
  <si>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</si>
  <si>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</si>
  <si>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</si>
  <si>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</si>
  <si>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</si>
  <si>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Tarde</t>
  </si>
  <si>
    <t>DADOS DA CONTRATAÇÃO: LINHA 12</t>
  </si>
  <si>
    <t>ITEM 12- LINHA 12- BRANDÃO</t>
  </si>
  <si>
    <t>ÔNIBUS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</si>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</sst>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59" zoomScaleNormal="100" zoomScaleSheetLayoutView="100" workbookViewId="0">
      <selection activeCell="D96" sqref="D96:E96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176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177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188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179</v>
      </c>
      <c r="E14" s="228"/>
    </row>
    <row r="15" spans="2:9" x14ac:dyDescent="0.25">
      <c r="B15" s="229" t="s">
        <v>187</v>
      </c>
      <c r="C15" s="229"/>
      <c r="D15" s="230">
        <v>30</v>
      </c>
      <c r="E15" s="230"/>
    </row>
    <row r="17" spans="1:9" ht="15.75" customHeight="1" x14ac:dyDescent="0.25">
      <c r="B17" s="218" t="s">
        <v>186</v>
      </c>
      <c r="C17" s="219"/>
      <c r="D17" s="1"/>
      <c r="E17" s="2"/>
    </row>
    <row r="18" spans="1:9" ht="15" customHeight="1" x14ac:dyDescent="0.25">
      <c r="B18" s="224" t="s">
        <v>189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185</v>
      </c>
      <c r="D22" s="128" t="s">
        <v>180</v>
      </c>
      <c r="E22" s="34" t="s">
        <v>9</v>
      </c>
    </row>
    <row r="23" spans="1:9" x14ac:dyDescent="0.25">
      <c r="B23" s="49" t="s">
        <v>56</v>
      </c>
      <c r="C23" s="105">
        <v>49</v>
      </c>
      <c r="D23" s="51">
        <v>49</v>
      </c>
      <c r="E23" s="51">
        <v>98</v>
      </c>
    </row>
    <row r="24" spans="1:9" x14ac:dyDescent="0.25">
      <c r="B24" s="13" t="s">
        <v>24</v>
      </c>
      <c r="C24" s="105">
        <f>C23*E11</f>
        <v>931</v>
      </c>
      <c r="D24" s="51">
        <f>D23*E11</f>
        <v>931</v>
      </c>
      <c r="E24" s="51">
        <f>C24+D24</f>
        <v>1862</v>
      </c>
    </row>
    <row r="25" spans="1:9" x14ac:dyDescent="0.25">
      <c r="B25" s="13" t="s">
        <v>57</v>
      </c>
      <c r="C25" s="105">
        <f>C23*E9</f>
        <v>4508</v>
      </c>
      <c r="D25" s="51">
        <f>D23*E9</f>
        <v>4508</v>
      </c>
      <c r="E25" s="51">
        <f>C25+D25</f>
        <v>9016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0.27083333333333331</v>
      </c>
      <c r="D29" s="14">
        <v>0.32291666666666669</v>
      </c>
      <c r="E29" s="14">
        <f>D29-C29</f>
        <v>5.208333333333337E-2</v>
      </c>
    </row>
    <row r="30" spans="1:9" x14ac:dyDescent="0.25">
      <c r="B30" s="13" t="s">
        <v>15</v>
      </c>
      <c r="C30" s="14">
        <v>0.4861111111111111</v>
      </c>
      <c r="D30" s="14">
        <v>0.54166666666666663</v>
      </c>
      <c r="E30" s="14">
        <f>D30-C30</f>
        <v>5.5555555555555525E-2</v>
      </c>
    </row>
    <row r="31" spans="1:9" x14ac:dyDescent="0.25">
      <c r="B31" s="204" t="s">
        <v>181</v>
      </c>
      <c r="C31" s="205">
        <v>0.70833333333333337</v>
      </c>
      <c r="D31" s="206">
        <v>0.76388888888888884</v>
      </c>
      <c r="E31" s="14">
        <f>D31-C31</f>
        <v>5.5555555555555469E-2</v>
      </c>
    </row>
    <row r="32" spans="1:9" x14ac:dyDescent="0.25">
      <c r="B32" s="220"/>
      <c r="C32" s="221"/>
      <c r="D32" s="222"/>
      <c r="E32" s="15">
        <f>SUM(E29:E31)</f>
        <v>0.16319444444444436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5.208333333333337E-2</v>
      </c>
      <c r="D36" s="20">
        <f>(C30-D29)-D106</f>
        <v>5.9027777777777748E-2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5.5555555555555525E-2</v>
      </c>
      <c r="D37" s="19">
        <v>0</v>
      </c>
      <c r="E37" s="19">
        <f>C37+D37</f>
        <v>5.5555555555555525E-2</v>
      </c>
    </row>
    <row r="38" spans="2:9" x14ac:dyDescent="0.25">
      <c r="B38" s="18" t="s">
        <v>181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0.1076388888888889</v>
      </c>
      <c r="D39" s="208">
        <f>SUM(D36:D38)</f>
        <v>5.9027777777777748E-2</v>
      </c>
      <c r="E39" s="21">
        <f>SUM(E36:E38)</f>
        <v>0.16666666666666663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1.2500000000000009</v>
      </c>
      <c r="D43" s="24">
        <f>D36*24</f>
        <v>1.4166666666666661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1.3333333333333326</v>
      </c>
      <c r="D44" s="19">
        <f>D37*24</f>
        <v>0</v>
      </c>
      <c r="E44" s="57">
        <f>C44+D44</f>
        <v>1.3333333333333326</v>
      </c>
    </row>
    <row r="45" spans="2:9" x14ac:dyDescent="0.25">
      <c r="B45" s="18" t="s">
        <v>181</v>
      </c>
      <c r="C45" s="57">
        <f>E31*24</f>
        <v>1.3333333333333313</v>
      </c>
      <c r="D45" s="24">
        <f>D38*24</f>
        <v>0</v>
      </c>
      <c r="E45" s="57">
        <f>C45+D45</f>
        <v>1.3333333333333313</v>
      </c>
    </row>
    <row r="46" spans="2:9" x14ac:dyDescent="0.25">
      <c r="B46" s="18"/>
      <c r="C46" s="209">
        <f>SUM(C43:C45)</f>
        <v>3.9166666666666647</v>
      </c>
      <c r="D46" s="209">
        <f>SUM(D43:D45)</f>
        <v>1.4166666666666661</v>
      </c>
      <c r="E46" s="209">
        <f>SUM(E43:E45)</f>
        <v>5.3333333333333304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74.416666666666629</v>
      </c>
      <c r="D50" s="26">
        <f>(D43+D45)*E11</f>
        <v>26.916666666666657</v>
      </c>
      <c r="E50" s="27">
        <f>C50+D50</f>
        <v>101.33333333333329</v>
      </c>
    </row>
    <row r="51" spans="2:10" x14ac:dyDescent="0.25">
      <c r="B51" s="214" t="s">
        <v>172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173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0.33825757575757559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0.1223484848484848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0.46060606060606041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44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190</v>
      </c>
    </row>
    <row r="62" spans="2:10" x14ac:dyDescent="0.25">
      <c r="B62" s="214" t="s">
        <v>29</v>
      </c>
      <c r="C62" s="215"/>
      <c r="D62" s="216"/>
      <c r="E62" s="35">
        <f>D15</f>
        <v>30</v>
      </c>
    </row>
    <row r="63" spans="2:10" x14ac:dyDescent="0.25">
      <c r="B63" s="214" t="s">
        <v>30</v>
      </c>
      <c r="C63" s="215"/>
      <c r="D63" s="216"/>
      <c r="E63" s="35" t="s">
        <v>31</v>
      </c>
    </row>
    <row r="64" spans="2:10" x14ac:dyDescent="0.25">
      <c r="B64" s="214" t="s">
        <v>32</v>
      </c>
      <c r="C64" s="215"/>
      <c r="D64" s="216"/>
      <c r="E64" s="35">
        <v>2022</v>
      </c>
    </row>
    <row r="65" spans="2:9" x14ac:dyDescent="0.25">
      <c r="B65" s="36" t="s">
        <v>33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43</v>
      </c>
      <c r="C67" s="241"/>
      <c r="D67" s="241"/>
      <c r="E67" s="242"/>
    </row>
    <row r="68" spans="2:9" x14ac:dyDescent="0.25">
      <c r="B68" s="13" t="s">
        <v>36</v>
      </c>
      <c r="C68" s="40"/>
      <c r="D68" s="41">
        <v>1</v>
      </c>
      <c r="E68" s="42">
        <v>565000</v>
      </c>
    </row>
    <row r="69" spans="2:9" x14ac:dyDescent="0.25">
      <c r="B69" s="214" t="s">
        <v>37</v>
      </c>
      <c r="C69" s="215"/>
      <c r="D69" s="43">
        <v>1</v>
      </c>
      <c r="E69" s="27">
        <v>80</v>
      </c>
    </row>
    <row r="70" spans="2:9" x14ac:dyDescent="0.25">
      <c r="B70" s="214" t="s">
        <v>38</v>
      </c>
      <c r="C70" s="215"/>
      <c r="D70" s="43">
        <v>1</v>
      </c>
      <c r="E70" s="27" t="s">
        <v>45</v>
      </c>
    </row>
    <row r="71" spans="2:9" x14ac:dyDescent="0.25">
      <c r="B71" s="214" t="s">
        <v>39</v>
      </c>
      <c r="C71" s="215"/>
      <c r="D71" s="43">
        <v>1</v>
      </c>
      <c r="E71" s="27">
        <v>37.9</v>
      </c>
    </row>
    <row r="72" spans="2:9" x14ac:dyDescent="0.25">
      <c r="B72" s="249" t="s">
        <v>40</v>
      </c>
      <c r="C72" s="249"/>
      <c r="D72" s="43">
        <v>2</v>
      </c>
      <c r="E72" s="28">
        <v>282.32</v>
      </c>
    </row>
    <row r="73" spans="2:9" x14ac:dyDescent="0.25">
      <c r="B73" s="250" t="s">
        <v>41</v>
      </c>
      <c r="C73" s="251"/>
      <c r="D73" s="43">
        <v>1</v>
      </c>
      <c r="E73" s="27">
        <v>330</v>
      </c>
    </row>
    <row r="74" spans="2:9" x14ac:dyDescent="0.25">
      <c r="B74" s="247" t="s">
        <v>30</v>
      </c>
      <c r="C74" s="248"/>
      <c r="D74" s="43">
        <v>1</v>
      </c>
      <c r="E74" s="33">
        <v>7.61</v>
      </c>
    </row>
    <row r="75" spans="2:9" x14ac:dyDescent="0.25">
      <c r="B75" s="252" t="s">
        <v>164</v>
      </c>
      <c r="C75" s="252"/>
      <c r="D75" s="53">
        <v>0.25</v>
      </c>
      <c r="E75" s="42">
        <f>((E68-E78)*D75)/12</f>
        <v>9416.6666666666661</v>
      </c>
      <c r="I75" s="61"/>
    </row>
    <row r="76" spans="2:9" x14ac:dyDescent="0.25">
      <c r="B76" s="252" t="s">
        <v>165</v>
      </c>
      <c r="C76" s="252"/>
      <c r="D76" s="53">
        <v>0.12</v>
      </c>
      <c r="E76" s="42">
        <f>(((E68-E78)-E75)*D76)/12</f>
        <v>4425.833333333333</v>
      </c>
      <c r="I76" s="61"/>
    </row>
    <row r="77" spans="2:9" x14ac:dyDescent="0.25">
      <c r="B77" s="247" t="s">
        <v>46</v>
      </c>
      <c r="C77" s="248"/>
      <c r="D77" s="53" t="s">
        <v>47</v>
      </c>
      <c r="E77" s="42">
        <v>17</v>
      </c>
    </row>
    <row r="78" spans="2:9" x14ac:dyDescent="0.25">
      <c r="B78" s="252" t="s">
        <v>42</v>
      </c>
      <c r="C78" s="252"/>
      <c r="D78" s="53">
        <v>0.2</v>
      </c>
      <c r="E78" s="42">
        <f>E68*D78</f>
        <v>113000</v>
      </c>
    </row>
    <row r="79" spans="2:9" x14ac:dyDescent="0.25">
      <c r="B79" s="36" t="s">
        <v>72</v>
      </c>
      <c r="C79" s="37"/>
      <c r="D79" s="43" t="s">
        <v>70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34</v>
      </c>
      <c r="C81" s="243"/>
      <c r="D81" s="243"/>
      <c r="E81" s="243"/>
    </row>
    <row r="82" spans="1:5" x14ac:dyDescent="0.25">
      <c r="A82" s="46"/>
      <c r="B82" s="244" t="s">
        <v>35</v>
      </c>
      <c r="C82" s="245"/>
      <c r="D82" s="245"/>
      <c r="E82" s="246"/>
    </row>
    <row r="83" spans="1:5" x14ac:dyDescent="0.25">
      <c r="B83" s="253" t="s">
        <v>49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48</v>
      </c>
      <c r="C85" s="243"/>
      <c r="D85" s="243"/>
      <c r="E85" s="243"/>
    </row>
    <row r="86" spans="1:5" x14ac:dyDescent="0.25">
      <c r="B86" s="244" t="s">
        <v>35</v>
      </c>
      <c r="C86" s="245"/>
      <c r="D86" s="245"/>
      <c r="E86" s="246"/>
    </row>
    <row r="87" spans="1:5" x14ac:dyDescent="0.25">
      <c r="B87" s="253" t="s">
        <v>49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52</v>
      </c>
      <c r="C89" s="262"/>
      <c r="D89" s="262"/>
      <c r="E89" s="262"/>
    </row>
    <row r="90" spans="1:5" x14ac:dyDescent="0.25">
      <c r="B90" s="70" t="s">
        <v>28</v>
      </c>
      <c r="C90" s="12" t="s">
        <v>53</v>
      </c>
      <c r="D90" s="12" t="s">
        <v>50</v>
      </c>
      <c r="E90" s="12" t="s">
        <v>51</v>
      </c>
    </row>
    <row r="91" spans="1:5" x14ac:dyDescent="0.25">
      <c r="B91" s="18" t="s">
        <v>54</v>
      </c>
      <c r="C91" s="45">
        <v>4</v>
      </c>
      <c r="D91" s="71">
        <v>40000</v>
      </c>
      <c r="E91" s="54">
        <v>10703.2</v>
      </c>
    </row>
    <row r="92" spans="1:5" x14ac:dyDescent="0.25">
      <c r="B92" s="18" t="s">
        <v>55</v>
      </c>
      <c r="C92" s="45">
        <v>2</v>
      </c>
      <c r="D92" s="71">
        <v>20000</v>
      </c>
      <c r="E92" s="54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58</v>
      </c>
      <c r="C95" s="243"/>
      <c r="D95" s="243"/>
      <c r="E95" s="243"/>
    </row>
    <row r="96" spans="1:5" x14ac:dyDescent="0.25">
      <c r="B96" s="263" t="s">
        <v>59</v>
      </c>
      <c r="C96" s="263"/>
      <c r="D96" s="264" t="s">
        <v>191</v>
      </c>
      <c r="E96" s="264"/>
    </row>
    <row r="97" spans="2:5" x14ac:dyDescent="0.25">
      <c r="B97" s="72" t="s">
        <v>60</v>
      </c>
      <c r="C97" s="72"/>
      <c r="D97" s="265" t="s">
        <v>61</v>
      </c>
      <c r="E97" s="265"/>
    </row>
    <row r="98" spans="2:5" x14ac:dyDescent="0.25">
      <c r="B98" s="266" t="s">
        <v>62</v>
      </c>
      <c r="C98" s="266"/>
      <c r="D98" s="22"/>
      <c r="E98" s="23"/>
    </row>
    <row r="99" spans="2:5" x14ac:dyDescent="0.25">
      <c r="B99" s="253" t="s">
        <v>63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51</v>
      </c>
      <c r="E100" s="51" t="s">
        <v>66</v>
      </c>
    </row>
    <row r="101" spans="2:5" x14ac:dyDescent="0.25">
      <c r="B101" s="260" t="s">
        <v>65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64</v>
      </c>
      <c r="C102" s="260"/>
      <c r="D102" s="18">
        <v>0</v>
      </c>
      <c r="E102" s="59">
        <v>0.06</v>
      </c>
    </row>
    <row r="103" spans="2:5" x14ac:dyDescent="0.25">
      <c r="B103" s="260" t="s">
        <v>67</v>
      </c>
      <c r="C103" s="260"/>
      <c r="D103" s="18">
        <v>119.85</v>
      </c>
      <c r="E103" s="59">
        <v>0.2</v>
      </c>
    </row>
    <row r="104" spans="2:5" x14ac:dyDescent="0.25">
      <c r="B104" s="260" t="s">
        <v>68</v>
      </c>
      <c r="C104" s="260"/>
      <c r="D104" s="57">
        <v>0</v>
      </c>
      <c r="E104" s="21"/>
    </row>
    <row r="105" spans="2:5" x14ac:dyDescent="0.25">
      <c r="B105" s="260" t="s">
        <v>69</v>
      </c>
      <c r="C105" s="260"/>
      <c r="D105" s="58">
        <v>0</v>
      </c>
      <c r="E105" s="21"/>
    </row>
    <row r="106" spans="2:5" x14ac:dyDescent="0.25">
      <c r="B106" s="47" t="s">
        <v>182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71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74</v>
      </c>
    </row>
    <row r="110" spans="2:5" x14ac:dyDescent="0.25">
      <c r="B110" s="229" t="s">
        <v>184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73</v>
      </c>
      <c r="C112" s="74"/>
      <c r="D112" s="74"/>
      <c r="E112" s="74"/>
    </row>
    <row r="113" spans="2:5" x14ac:dyDescent="0.25">
      <c r="B113" s="214" t="s">
        <v>75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163</v>
      </c>
      <c r="C115" s="101"/>
      <c r="D115" s="101"/>
      <c r="E115" s="102"/>
    </row>
    <row r="116" spans="2:5" x14ac:dyDescent="0.25">
      <c r="B116" s="95"/>
      <c r="C116" s="95" t="s">
        <v>161</v>
      </c>
      <c r="D116" s="95" t="s">
        <v>162</v>
      </c>
      <c r="E116" s="95" t="s">
        <v>135</v>
      </c>
    </row>
    <row r="117" spans="2:5" x14ac:dyDescent="0.25">
      <c r="B117" s="66" t="s">
        <v>156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157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158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5" sqref="G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168</v>
      </c>
      <c r="E2" s="340"/>
      <c r="F2" s="340"/>
      <c r="G2" s="340"/>
      <c r="H2" s="140"/>
      <c r="I2" s="140"/>
      <c r="J2" s="140" t="s">
        <v>135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76</v>
      </c>
      <c r="C3" s="267"/>
      <c r="D3" s="267"/>
      <c r="E3" s="267"/>
      <c r="F3" s="267"/>
      <c r="G3" s="141" t="s">
        <v>77</v>
      </c>
      <c r="H3" s="140"/>
      <c r="I3" s="140"/>
      <c r="J3" s="141" t="s">
        <v>77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63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78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79</v>
      </c>
      <c r="C8" s="267"/>
      <c r="D8" s="267"/>
      <c r="E8" s="267"/>
      <c r="F8" s="267"/>
      <c r="G8" s="141" t="s">
        <v>77</v>
      </c>
      <c r="H8" s="140"/>
      <c r="I8" s="140"/>
      <c r="J8" s="141" t="s">
        <v>77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80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183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81</v>
      </c>
      <c r="C11" s="273"/>
      <c r="D11" s="273"/>
      <c r="E11" s="273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82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83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84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85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86</v>
      </c>
      <c r="C17" s="283"/>
      <c r="D17" s="283"/>
      <c r="E17" s="283"/>
      <c r="F17" s="283"/>
      <c r="G17" s="138" t="s">
        <v>77</v>
      </c>
      <c r="H17" s="140"/>
      <c r="I17" s="140"/>
      <c r="J17" s="138" t="s">
        <v>77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87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88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89</v>
      </c>
      <c r="C21" s="267"/>
      <c r="D21" s="267"/>
      <c r="E21" s="267"/>
      <c r="F21" s="267"/>
      <c r="G21" s="141" t="s">
        <v>77</v>
      </c>
      <c r="H21" s="140"/>
      <c r="I21" s="140"/>
      <c r="J21" s="141" t="s">
        <v>77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90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91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97</v>
      </c>
      <c r="C25" s="267"/>
      <c r="D25" s="267"/>
      <c r="E25" s="267"/>
      <c r="F25" s="267"/>
      <c r="G25" s="141" t="s">
        <v>77</v>
      </c>
      <c r="H25" s="140"/>
      <c r="I25" s="140"/>
      <c r="J25" s="141" t="s">
        <v>77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117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101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98</v>
      </c>
      <c r="C29" s="267"/>
      <c r="D29" s="267"/>
      <c r="E29" s="267"/>
      <c r="F29" s="267"/>
      <c r="G29" s="141" t="s">
        <v>77</v>
      </c>
      <c r="H29" s="140"/>
      <c r="I29" s="140"/>
      <c r="J29" s="141" t="s">
        <v>77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92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93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94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178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95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96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99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100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107</v>
      </c>
      <c r="C39" s="267"/>
      <c r="D39" s="267"/>
      <c r="E39" s="267"/>
      <c r="F39" s="267"/>
      <c r="G39" s="163" t="s">
        <v>77</v>
      </c>
      <c r="H39" s="140"/>
      <c r="I39" s="140"/>
      <c r="J39" s="163" t="s">
        <v>77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102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128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103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104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119</v>
      </c>
      <c r="N42" s="333" t="s">
        <v>120</v>
      </c>
      <c r="O42" s="333" t="s">
        <v>121</v>
      </c>
      <c r="P42" s="335" t="s">
        <v>127</v>
      </c>
      <c r="Q42" s="335" t="s">
        <v>123</v>
      </c>
      <c r="R42" s="306" t="s">
        <v>124</v>
      </c>
      <c r="S42" s="306" t="s">
        <v>125</v>
      </c>
      <c r="T42" s="306" t="s">
        <v>126</v>
      </c>
      <c r="U42" s="170"/>
      <c r="V42" s="170"/>
      <c r="W42" s="170"/>
      <c r="X42" s="170"/>
    </row>
    <row r="43" spans="2:24" ht="22.5" customHeight="1" x14ac:dyDescent="0.25">
      <c r="B43" s="284" t="s">
        <v>105</v>
      </c>
      <c r="C43" s="284"/>
      <c r="D43" s="284"/>
      <c r="E43" s="78"/>
      <c r="F43" s="143"/>
      <c r="G43" s="151">
        <f>T57</f>
        <v>55.511355639890361</v>
      </c>
      <c r="H43" s="140"/>
      <c r="I43" s="140"/>
      <c r="J43" s="151">
        <f>T58</f>
        <v>55.511355639890361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112</v>
      </c>
      <c r="C44" s="350"/>
      <c r="D44" s="350"/>
      <c r="E44" s="350"/>
      <c r="F44" s="350"/>
      <c r="G44" s="151">
        <f>G43*E35</f>
        <v>20.428178875479656</v>
      </c>
      <c r="H44" s="140"/>
      <c r="I44" s="140"/>
      <c r="J44" s="151">
        <f>G44</f>
        <v>20.428178875479656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106</v>
      </c>
      <c r="C45" s="284"/>
      <c r="D45" s="284"/>
      <c r="E45" s="78"/>
      <c r="F45" s="143"/>
      <c r="G45" s="151">
        <f>R61</f>
        <v>105.31614392</v>
      </c>
      <c r="H45" s="140"/>
      <c r="I45" s="140"/>
      <c r="J45" s="151">
        <f>G45</f>
        <v>105.31614392</v>
      </c>
      <c r="K45" s="140"/>
      <c r="L45" s="140"/>
      <c r="M45" s="168"/>
      <c r="N45" s="168"/>
      <c r="O45" s="168"/>
      <c r="P45" s="168"/>
      <c r="Q45" s="332" t="s">
        <v>118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108</v>
      </c>
      <c r="C46" s="283"/>
      <c r="D46" s="283"/>
      <c r="E46" s="283"/>
      <c r="F46" s="283"/>
      <c r="G46" s="79">
        <f>SUM(G40:G45)</f>
        <v>295.96476835946868</v>
      </c>
      <c r="H46" s="140"/>
      <c r="I46" s="140"/>
      <c r="J46" s="79">
        <f>SUM(J40:J45)</f>
        <v>295.96476835946868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110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129</v>
      </c>
      <c r="N48" s="173" t="s">
        <v>130</v>
      </c>
      <c r="O48" s="173" t="s">
        <v>95</v>
      </c>
      <c r="P48" s="173" t="s">
        <v>131</v>
      </c>
      <c r="Q48" s="173" t="s">
        <v>125</v>
      </c>
      <c r="R48" s="173" t="s">
        <v>132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140</v>
      </c>
      <c r="C49" s="289"/>
      <c r="D49" s="289"/>
      <c r="E49" s="289"/>
      <c r="F49" s="290"/>
      <c r="G49" s="94" t="s">
        <v>141</v>
      </c>
      <c r="H49" s="83"/>
      <c r="I49" s="83"/>
      <c r="J49" s="94" t="s">
        <v>141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109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133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174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113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111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134</v>
      </c>
      <c r="N54" s="295"/>
      <c r="O54" s="295"/>
      <c r="P54" s="296"/>
      <c r="Q54" s="183" t="s">
        <v>129</v>
      </c>
      <c r="R54" s="184">
        <f>G6+G15+G22+O25+G30+G31+G32+G33+G36+G34</f>
        <v>4050.6209199999998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136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114</v>
      </c>
      <c r="C56" s="301"/>
      <c r="D56" s="301"/>
      <c r="E56" s="301"/>
      <c r="F56" s="302"/>
      <c r="G56" s="141" t="s">
        <v>77</v>
      </c>
      <c r="H56" s="140"/>
      <c r="I56" s="140"/>
      <c r="J56" s="141" t="s">
        <v>77</v>
      </c>
      <c r="K56" s="140"/>
      <c r="L56" s="140"/>
      <c r="M56" s="186" t="s">
        <v>119</v>
      </c>
      <c r="N56" s="186" t="s">
        <v>120</v>
      </c>
      <c r="O56" s="186" t="s">
        <v>121</v>
      </c>
      <c r="P56" s="187" t="s">
        <v>122</v>
      </c>
      <c r="Q56" s="187" t="s">
        <v>123</v>
      </c>
      <c r="R56" s="187" t="s">
        <v>124</v>
      </c>
      <c r="S56" s="187" t="s">
        <v>125</v>
      </c>
      <c r="T56" s="188" t="s">
        <v>137</v>
      </c>
      <c r="U56" s="189"/>
      <c r="V56" s="140"/>
      <c r="W56" s="140"/>
      <c r="X56" s="140"/>
    </row>
    <row r="57" spans="2:24" x14ac:dyDescent="0.25">
      <c r="B57" s="284" t="s">
        <v>76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5265.8071959999997</v>
      </c>
      <c r="Q57" s="90">
        <f>Q44</f>
        <v>47.43</v>
      </c>
      <c r="R57" s="191">
        <f>P57/Q57</f>
        <v>111.02271127978072</v>
      </c>
      <c r="S57" s="91">
        <v>0.5</v>
      </c>
      <c r="T57" s="192">
        <f>R57*S57</f>
        <v>55.511355639890361</v>
      </c>
      <c r="U57" s="170"/>
      <c r="V57" s="140"/>
      <c r="W57" s="140"/>
      <c r="X57" s="140"/>
    </row>
    <row r="58" spans="2:24" x14ac:dyDescent="0.25">
      <c r="B58" s="310" t="s">
        <v>79</v>
      </c>
      <c r="C58" s="310"/>
      <c r="D58" s="310"/>
      <c r="E58" s="310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169</v>
      </c>
      <c r="N58" s="140"/>
      <c r="O58" s="140"/>
      <c r="P58" s="193">
        <f>((R54-(G32+G33))/30)*O57</f>
        <v>5265.8071959999997</v>
      </c>
      <c r="Q58" s="154"/>
      <c r="R58" s="194">
        <f>P58/Q57</f>
        <v>111.02271127978072</v>
      </c>
      <c r="S58" s="140"/>
      <c r="T58" s="154">
        <f>R58*S57</f>
        <v>55.511355639890361</v>
      </c>
      <c r="U58" s="140"/>
      <c r="V58" s="140"/>
      <c r="W58" s="140"/>
      <c r="X58" s="140"/>
    </row>
    <row r="59" spans="2:24" x14ac:dyDescent="0.25">
      <c r="B59" s="310" t="s">
        <v>86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106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89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138</v>
      </c>
      <c r="N60" s="198" t="s">
        <v>130</v>
      </c>
      <c r="O60" s="198" t="s">
        <v>139</v>
      </c>
      <c r="P60" s="173" t="s">
        <v>131</v>
      </c>
      <c r="Q60" s="199" t="s">
        <v>125</v>
      </c>
      <c r="R60" s="199" t="s">
        <v>132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97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5265.8071959999997</v>
      </c>
      <c r="N61" s="201">
        <v>0.5</v>
      </c>
      <c r="O61" s="201">
        <v>0.08</v>
      </c>
      <c r="P61" s="202">
        <f>M61*N61*O61</f>
        <v>210.63228784</v>
      </c>
      <c r="Q61" s="92">
        <v>0.5</v>
      </c>
      <c r="R61" s="179">
        <f>P61*Q61</f>
        <v>105.31614392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98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107</v>
      </c>
      <c r="C63" s="310"/>
      <c r="D63" s="310"/>
      <c r="E63" s="310"/>
      <c r="F63" s="195"/>
      <c r="G63" s="196">
        <f>G46</f>
        <v>295.96476835946868</v>
      </c>
      <c r="H63" s="140"/>
      <c r="I63" s="140"/>
      <c r="J63" s="196">
        <f>J46</f>
        <v>295.96476835946868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116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115</v>
      </c>
      <c r="C65" s="342"/>
      <c r="D65" s="342"/>
      <c r="E65" s="342"/>
      <c r="F65" s="343"/>
      <c r="G65" s="67">
        <f>SUM(G57:G64)</f>
        <v>4574.3934877834681</v>
      </c>
      <c r="H65" s="140"/>
      <c r="I65" s="140"/>
      <c r="J65" s="67">
        <f>SUM(J57:J64)</f>
        <v>4561.3555159394682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142</v>
      </c>
      <c r="C67" s="140"/>
      <c r="D67" s="140"/>
      <c r="E67" s="140"/>
      <c r="F67" s="140" t="s">
        <v>13</v>
      </c>
      <c r="G67" s="65">
        <f>G65*Dados!E55</f>
        <v>1547.3232517388769</v>
      </c>
      <c r="H67" s="140"/>
      <c r="I67" s="140"/>
      <c r="J67" s="65">
        <f>J65*Dados!E55</f>
        <v>1542.9130589901299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143</v>
      </c>
      <c r="F68" s="140" t="s">
        <v>14</v>
      </c>
      <c r="G68" s="65">
        <f>(G65*Dados!E57)</f>
        <v>2106.9933640699601</v>
      </c>
      <c r="H68" s="140"/>
      <c r="I68" s="140"/>
      <c r="J68" s="65">
        <f>J65*Dados!E57</f>
        <v>2100.9879952206024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topLeftCell="A10" zoomScaleNormal="100" workbookViewId="0">
      <selection activeCell="E27" sqref="E27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171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12- LINHA 12- BRANDÃO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166</v>
      </c>
      <c r="C9" s="369"/>
      <c r="D9" s="369"/>
      <c r="E9" s="369"/>
      <c r="F9" s="103"/>
      <c r="G9" s="29"/>
      <c r="H9" s="211" t="s">
        <v>170</v>
      </c>
      <c r="I9" s="104"/>
      <c r="J9" s="120"/>
      <c r="K9" s="211" t="s">
        <v>169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144</v>
      </c>
      <c r="C11" s="353"/>
      <c r="D11" s="353"/>
      <c r="E11" s="3" t="s">
        <v>77</v>
      </c>
      <c r="F11" s="3"/>
      <c r="H11" s="3" t="s">
        <v>77</v>
      </c>
      <c r="I11" s="3"/>
      <c r="K11" s="3" t="s">
        <v>77</v>
      </c>
    </row>
    <row r="12" spans="2:13" x14ac:dyDescent="0.25">
      <c r="B12" s="351" t="s">
        <v>145</v>
      </c>
      <c r="C12" s="351"/>
      <c r="D12" s="351"/>
      <c r="E12" s="107">
        <f>(Dados!E75*Dados!E55)</f>
        <v>3185.2588383838365</v>
      </c>
      <c r="F12" s="113"/>
      <c r="G12" s="111"/>
      <c r="H12" s="107">
        <f t="shared" ref="H12:H17" si="0">E12</f>
        <v>3185.2588383838365</v>
      </c>
      <c r="I12" s="113"/>
      <c r="K12" s="108">
        <f t="shared" ref="K12:K17" si="1">E12</f>
        <v>3185.2588383838365</v>
      </c>
      <c r="M12" s="61"/>
    </row>
    <row r="13" spans="2:13" x14ac:dyDescent="0.25">
      <c r="B13" s="351" t="s">
        <v>146</v>
      </c>
      <c r="C13" s="351"/>
      <c r="D13" s="351"/>
      <c r="E13" s="107">
        <f>Dados!E76*Dados!E55</f>
        <v>1497.0716540404032</v>
      </c>
      <c r="F13" s="113"/>
      <c r="G13" s="111"/>
      <c r="H13" s="107">
        <f t="shared" si="0"/>
        <v>1497.0716540404032</v>
      </c>
      <c r="I13" s="113"/>
      <c r="K13" s="108">
        <f t="shared" si="1"/>
        <v>1497.0716540404032</v>
      </c>
      <c r="M13" s="61"/>
    </row>
    <row r="14" spans="2:13" x14ac:dyDescent="0.25">
      <c r="B14" s="351" t="s">
        <v>147</v>
      </c>
      <c r="C14" s="351"/>
      <c r="D14" s="351"/>
      <c r="E14" s="107">
        <f>(((Dados!E23*1)/Dados!E65)*Dados!E74)*Dados!E11</f>
        <v>4723.2733333333335</v>
      </c>
      <c r="F14" s="113"/>
      <c r="G14" s="111"/>
      <c r="H14" s="107">
        <f t="shared" si="0"/>
        <v>4723.2733333333335</v>
      </c>
      <c r="I14" s="113"/>
      <c r="K14" s="108">
        <f t="shared" si="1"/>
        <v>4723.2733333333335</v>
      </c>
    </row>
    <row r="15" spans="2:13" x14ac:dyDescent="0.25">
      <c r="B15" s="351" t="s">
        <v>48</v>
      </c>
      <c r="C15" s="351"/>
      <c r="D15" s="351"/>
      <c r="E15" s="107">
        <f>E14*Dados!E83</f>
        <v>472.3273333333334</v>
      </c>
      <c r="F15" s="113"/>
      <c r="G15" s="111"/>
      <c r="H15" s="107">
        <f t="shared" si="0"/>
        <v>472.3273333333334</v>
      </c>
      <c r="I15" s="113"/>
      <c r="K15" s="108">
        <f t="shared" si="1"/>
        <v>472.3273333333334</v>
      </c>
    </row>
    <row r="16" spans="2:13" x14ac:dyDescent="0.25">
      <c r="B16" s="351" t="s">
        <v>148</v>
      </c>
      <c r="C16" s="351"/>
      <c r="D16" s="351"/>
      <c r="E16" s="107">
        <f>E14*Dados!E83</f>
        <v>472.3273333333334</v>
      </c>
      <c r="F16" s="113"/>
      <c r="G16" s="111"/>
      <c r="H16" s="107">
        <f t="shared" si="0"/>
        <v>472.3273333333334</v>
      </c>
      <c r="I16" s="113"/>
      <c r="K16" s="108">
        <f t="shared" si="1"/>
        <v>472.3273333333334</v>
      </c>
    </row>
    <row r="17" spans="2:11" x14ac:dyDescent="0.25">
      <c r="B17" s="351" t="s">
        <v>52</v>
      </c>
      <c r="C17" s="351"/>
      <c r="D17" s="351"/>
      <c r="E17" s="107">
        <f>(((Dados!E91*Dados!C91)/Dados!D91)*Dados!E24)</f>
        <v>1992.9358400000003</v>
      </c>
      <c r="F17" s="113"/>
      <c r="G17" s="111"/>
      <c r="H17" s="107">
        <f t="shared" si="0"/>
        <v>1992.9358400000003</v>
      </c>
      <c r="I17" s="113"/>
      <c r="K17" s="108">
        <f t="shared" si="1"/>
        <v>1992.9358400000003</v>
      </c>
    </row>
    <row r="18" spans="2:11" x14ac:dyDescent="0.25">
      <c r="B18" s="358" t="s">
        <v>96</v>
      </c>
      <c r="C18" s="358"/>
      <c r="D18" s="358"/>
      <c r="E18" s="106">
        <f>SUM(E12:E17)</f>
        <v>12343.19433242424</v>
      </c>
      <c r="F18" s="115"/>
      <c r="G18" s="111"/>
      <c r="H18" s="106">
        <f>SUM(H12:H17)</f>
        <v>12343.19433242424</v>
      </c>
      <c r="I18" s="115"/>
      <c r="K18" s="109">
        <f>SUM(K12:K17)</f>
        <v>12343.19433242424</v>
      </c>
    </row>
    <row r="19" spans="2:11" x14ac:dyDescent="0.25">
      <c r="B19" s="364" t="s">
        <v>149</v>
      </c>
      <c r="C19" s="364"/>
      <c r="D19" s="364"/>
      <c r="E19" s="112" t="s">
        <v>77</v>
      </c>
      <c r="F19" s="112"/>
      <c r="G19" s="111"/>
      <c r="H19" s="112" t="s">
        <v>77</v>
      </c>
      <c r="I19" s="112"/>
      <c r="K19" s="112" t="s">
        <v>77</v>
      </c>
    </row>
    <row r="20" spans="2:11" x14ac:dyDescent="0.25">
      <c r="B20" s="365" t="s">
        <v>150</v>
      </c>
      <c r="C20" s="365"/>
      <c r="D20" s="365"/>
      <c r="E20" s="107">
        <f>Motorista!G67</f>
        <v>1547.3232517388769</v>
      </c>
      <c r="F20" s="113"/>
      <c r="G20" s="111"/>
      <c r="H20" s="50">
        <f>E20</f>
        <v>1547.3232517388769</v>
      </c>
      <c r="I20" s="121"/>
      <c r="K20" s="50">
        <f>Motorista!J67</f>
        <v>1542.9130589901299</v>
      </c>
    </row>
    <row r="21" spans="2:11" x14ac:dyDescent="0.25">
      <c r="B21" s="357" t="s">
        <v>96</v>
      </c>
      <c r="C21" s="357"/>
      <c r="D21" s="357"/>
      <c r="E21" s="106">
        <f>SUM(E20:E20)</f>
        <v>1547.3232517388769</v>
      </c>
      <c r="F21" s="115"/>
      <c r="G21" s="111"/>
      <c r="H21" s="68">
        <f>SUM(H20:H20)</f>
        <v>1547.3232517388769</v>
      </c>
      <c r="I21" s="122"/>
      <c r="K21" s="68">
        <f>SUM(K20:K20)</f>
        <v>1542.9130589901299</v>
      </c>
    </row>
    <row r="22" spans="2:11" x14ac:dyDescent="0.25">
      <c r="B22" s="353" t="s">
        <v>71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175</v>
      </c>
      <c r="C23" s="355"/>
      <c r="D23" s="355"/>
      <c r="E23" s="112" t="s">
        <v>77</v>
      </c>
      <c r="F23" s="112"/>
      <c r="G23" s="111"/>
      <c r="H23" s="112" t="s">
        <v>77</v>
      </c>
      <c r="I23" s="112"/>
      <c r="K23" s="112" t="s">
        <v>77</v>
      </c>
    </row>
    <row r="24" spans="2:11" x14ac:dyDescent="0.25">
      <c r="B24" s="351" t="s">
        <v>37</v>
      </c>
      <c r="C24" s="351"/>
      <c r="D24" s="351"/>
      <c r="E24" s="107">
        <f>(Dados!E69/12)*Dados!E55</f>
        <v>2.2550505050505039</v>
      </c>
      <c r="F24" s="113"/>
      <c r="G24" s="111"/>
      <c r="H24" s="108">
        <f t="shared" ref="H24:H29" si="2">E24</f>
        <v>2.2550505050505039</v>
      </c>
      <c r="I24" s="121"/>
      <c r="K24" s="108">
        <f t="shared" ref="K24:K29" si="3">E24</f>
        <v>2.2550505050505039</v>
      </c>
    </row>
    <row r="25" spans="2:11" x14ac:dyDescent="0.25">
      <c r="B25" s="351" t="s">
        <v>39</v>
      </c>
      <c r="C25" s="351"/>
      <c r="D25" s="351"/>
      <c r="E25" s="107">
        <f>(Dados!E71/12)*Dados!E55</f>
        <v>1.0683301767676763</v>
      </c>
      <c r="F25" s="113"/>
      <c r="G25" s="111"/>
      <c r="H25" s="108">
        <f t="shared" si="2"/>
        <v>1.0683301767676763</v>
      </c>
      <c r="I25" s="121"/>
      <c r="K25" s="108">
        <f t="shared" si="3"/>
        <v>1.0683301767676763</v>
      </c>
    </row>
    <row r="26" spans="2:11" x14ac:dyDescent="0.25">
      <c r="B26" s="351" t="s">
        <v>38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151</v>
      </c>
      <c r="C27" s="351"/>
      <c r="D27" s="351"/>
      <c r="E27" s="107">
        <f>(Dados!E72/12)*Dados!E55</f>
        <v>7.9580732323232288</v>
      </c>
      <c r="F27" s="113"/>
      <c r="G27" s="111"/>
      <c r="H27" s="108">
        <f t="shared" si="2"/>
        <v>7.9580732323232288</v>
      </c>
      <c r="I27" s="121"/>
      <c r="K27" s="108">
        <f t="shared" si="3"/>
        <v>7.9580732323232288</v>
      </c>
    </row>
    <row r="28" spans="2:11" x14ac:dyDescent="0.25">
      <c r="B28" s="351" t="s">
        <v>152</v>
      </c>
      <c r="C28" s="351"/>
      <c r="D28" s="351"/>
      <c r="E28" s="107">
        <f>(Dados!E73/12)*Dados!E55</f>
        <v>9.3020833333333286</v>
      </c>
      <c r="F28" s="113"/>
      <c r="G28" s="111"/>
      <c r="H28" s="108">
        <f t="shared" si="2"/>
        <v>9.3020833333333286</v>
      </c>
      <c r="I28" s="121"/>
      <c r="K28" s="108">
        <f t="shared" si="3"/>
        <v>9.3020833333333286</v>
      </c>
    </row>
    <row r="29" spans="2:11" x14ac:dyDescent="0.25">
      <c r="B29" s="351" t="s">
        <v>153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154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154</v>
      </c>
      <c r="C31" s="351"/>
      <c r="D31" s="351"/>
      <c r="E31" s="107">
        <f>((E18+E21)*Dados!E110)*Dados!E57</f>
        <v>319.9028292110292</v>
      </c>
      <c r="F31" s="113"/>
      <c r="G31" s="111"/>
      <c r="H31" s="108">
        <f>((E18+E21)*Dados!E110)*Dados!E57</f>
        <v>319.9028292110292</v>
      </c>
      <c r="I31" s="121"/>
      <c r="K31" s="108">
        <f>((K18+K21)*Dados!E110)*Dados!E55</f>
        <v>234.85405114645886</v>
      </c>
    </row>
    <row r="32" spans="2:11" x14ac:dyDescent="0.25">
      <c r="B32" s="357" t="s">
        <v>96</v>
      </c>
      <c r="C32" s="357"/>
      <c r="D32" s="357"/>
      <c r="E32" s="106">
        <f>SUM(E24:E31)</f>
        <v>340.48636645850394</v>
      </c>
      <c r="F32" s="115"/>
      <c r="G32" s="111"/>
      <c r="H32" s="109">
        <f>SUM(H24:H31)</f>
        <v>340.48636645850394</v>
      </c>
      <c r="I32" s="122"/>
      <c r="K32" s="109">
        <f>SUM(K24:K31)</f>
        <v>255.43758839393359</v>
      </c>
    </row>
    <row r="33" spans="2:13" x14ac:dyDescent="0.25">
      <c r="B33" s="77" t="s">
        <v>73</v>
      </c>
      <c r="E33" s="112" t="s">
        <v>77</v>
      </c>
      <c r="F33" s="112"/>
      <c r="G33" s="111"/>
      <c r="H33" s="112" t="s">
        <v>77</v>
      </c>
      <c r="K33" s="112" t="s">
        <v>77</v>
      </c>
    </row>
    <row r="34" spans="2:13" x14ac:dyDescent="0.25">
      <c r="B34" s="361"/>
      <c r="C34" s="362"/>
      <c r="D34" s="363"/>
      <c r="E34" s="114">
        <f>(E32+E21+E18)*Dados!E113</f>
        <v>2134.6505925932433</v>
      </c>
      <c r="F34" s="113"/>
      <c r="G34" s="111"/>
      <c r="H34" s="108">
        <f>E34</f>
        <v>2134.6505925932433</v>
      </c>
      <c r="I34" s="121"/>
      <c r="K34" s="108">
        <f>(K32+K21+K18)*Dados!E113</f>
        <v>2121.2317469712452</v>
      </c>
    </row>
    <row r="35" spans="2:13" x14ac:dyDescent="0.25">
      <c r="B35" s="352" t="s">
        <v>96</v>
      </c>
      <c r="C35" s="352"/>
      <c r="D35" s="352"/>
      <c r="E35" s="106">
        <f>SUM(E34)</f>
        <v>2134.6505925932433</v>
      </c>
      <c r="F35" s="115"/>
      <c r="G35" s="111"/>
      <c r="H35" s="109">
        <f>SUM(H34)</f>
        <v>2134.6505925932433</v>
      </c>
      <c r="I35" s="122"/>
      <c r="K35" s="109">
        <f>SUM(K34)</f>
        <v>2121.2317469712452</v>
      </c>
    </row>
    <row r="36" spans="2:13" x14ac:dyDescent="0.25">
      <c r="B36" s="357" t="s">
        <v>96</v>
      </c>
      <c r="C36" s="357"/>
      <c r="D36" s="357"/>
      <c r="E36" s="106">
        <f>E35+E32+E21+E18</f>
        <v>16365.654543214865</v>
      </c>
      <c r="F36" s="115"/>
      <c r="G36" s="111"/>
      <c r="H36" s="109">
        <f>H35+H32+H21+H18</f>
        <v>16365.654543214865</v>
      </c>
      <c r="I36" s="122"/>
      <c r="K36" s="109">
        <f>K35+K32+K21+K18</f>
        <v>16262.77672677955</v>
      </c>
    </row>
    <row r="37" spans="2:13" x14ac:dyDescent="0.25">
      <c r="B37" s="359" t="s">
        <v>160</v>
      </c>
      <c r="C37" s="359"/>
      <c r="D37" s="359"/>
      <c r="E37" s="112" t="s">
        <v>77</v>
      </c>
      <c r="F37" s="111"/>
      <c r="G37" s="111"/>
      <c r="H37" s="112" t="s">
        <v>77</v>
      </c>
      <c r="K37" s="112" t="s">
        <v>77</v>
      </c>
    </row>
    <row r="38" spans="2:13" x14ac:dyDescent="0.25">
      <c r="B38" s="360" t="s">
        <v>155</v>
      </c>
      <c r="C38" s="360"/>
      <c r="D38" s="360"/>
      <c r="E38" s="107">
        <f>E36/((100-14.25)/100)</f>
        <v>19085.311420658734</v>
      </c>
      <c r="F38" s="113"/>
      <c r="G38" s="107"/>
      <c r="H38" s="107">
        <f>H36/((100-8.65)/100)</f>
        <v>17915.33064391337</v>
      </c>
      <c r="J38" s="18"/>
      <c r="K38" s="107">
        <f>K36/((100-7.99)/100)</f>
        <v>17675.010028018205</v>
      </c>
    </row>
    <row r="39" spans="2:13" x14ac:dyDescent="0.25">
      <c r="B39" s="116" t="s">
        <v>156</v>
      </c>
      <c r="C39" s="117"/>
      <c r="D39" s="118">
        <f>Dados!C117</f>
        <v>7.5999999999999998E-2</v>
      </c>
      <c r="E39" s="107">
        <f>E38*D39</f>
        <v>1450.4836679700638</v>
      </c>
      <c r="F39" s="113"/>
      <c r="G39" s="123">
        <f>Dados!D117</f>
        <v>0.03</v>
      </c>
      <c r="H39" s="107">
        <f>H38*G39</f>
        <v>537.45991931740105</v>
      </c>
      <c r="J39" s="59">
        <f>Dados!E117</f>
        <v>2.4199999999999999E-2</v>
      </c>
      <c r="K39" s="107">
        <f>K38*J39</f>
        <v>427.73524267804055</v>
      </c>
    </row>
    <row r="40" spans="2:13" x14ac:dyDescent="0.25">
      <c r="B40" s="116" t="s">
        <v>157</v>
      </c>
      <c r="C40" s="117"/>
      <c r="D40" s="118">
        <f>Dados!C118</f>
        <v>1.6500000000000001E-2</v>
      </c>
      <c r="E40" s="107">
        <f>E38*D40</f>
        <v>314.90763844086911</v>
      </c>
      <c r="F40" s="113"/>
      <c r="G40" s="123">
        <f>Dados!D118</f>
        <v>6.4999999999999997E-3</v>
      </c>
      <c r="H40" s="107">
        <f>H38*G40</f>
        <v>116.4496491854369</v>
      </c>
      <c r="J40" s="59">
        <f>Dados!E118</f>
        <v>5.7000000000000002E-3</v>
      </c>
      <c r="K40" s="107">
        <f>K38*J40</f>
        <v>100.74755715970377</v>
      </c>
    </row>
    <row r="41" spans="2:13" x14ac:dyDescent="0.25">
      <c r="B41" s="116" t="s">
        <v>158</v>
      </c>
      <c r="C41" s="117"/>
      <c r="D41" s="118">
        <f>Dados!C119</f>
        <v>0.05</v>
      </c>
      <c r="E41" s="107">
        <f>E38*D41</f>
        <v>954.2655710329368</v>
      </c>
      <c r="F41" s="113"/>
      <c r="G41" s="123">
        <f>Dados!D119</f>
        <v>0.05</v>
      </c>
      <c r="H41" s="107">
        <f>H38*G41</f>
        <v>895.76653219566856</v>
      </c>
      <c r="J41" s="125">
        <f>Dados!E119</f>
        <v>0.05</v>
      </c>
      <c r="K41" s="107">
        <f>K38*J41</f>
        <v>883.75050140091025</v>
      </c>
    </row>
    <row r="42" spans="2:13" x14ac:dyDescent="0.25">
      <c r="B42" s="366" t="s">
        <v>159</v>
      </c>
      <c r="C42" s="366"/>
      <c r="D42" s="366"/>
      <c r="E42" s="106">
        <f>SUM(E39:E41)</f>
        <v>2719.6568774438697</v>
      </c>
      <c r="F42" s="115"/>
      <c r="G42" s="124">
        <f>SUM(G39:G41)</f>
        <v>8.6499999999999994E-2</v>
      </c>
      <c r="H42" s="109">
        <f>SUM(H39:H41)</f>
        <v>1549.6761006985066</v>
      </c>
      <c r="I42" s="77"/>
      <c r="J42" s="126">
        <f>SUM(J39:J41)</f>
        <v>7.9899999999999999E-2</v>
      </c>
      <c r="K42" s="106">
        <f>SUM(K39:K41)</f>
        <v>1412.2333012386546</v>
      </c>
    </row>
    <row r="43" spans="2:13" x14ac:dyDescent="0.25">
      <c r="B43" s="110"/>
      <c r="C43" s="6"/>
      <c r="D43" s="6"/>
      <c r="E43" s="112" t="s">
        <v>77</v>
      </c>
      <c r="F43" s="111"/>
      <c r="G43" s="111"/>
      <c r="H43" s="112" t="s">
        <v>77</v>
      </c>
      <c r="K43" s="112" t="s">
        <v>77</v>
      </c>
    </row>
    <row r="44" spans="2:13" x14ac:dyDescent="0.25">
      <c r="B44" s="356" t="s">
        <v>115</v>
      </c>
      <c r="C44" s="356"/>
      <c r="D44" s="356"/>
      <c r="E44" s="68">
        <f>E42+E36</f>
        <v>19085.311420658734</v>
      </c>
      <c r="F44" s="119"/>
      <c r="H44" s="109">
        <f>H36+H42</f>
        <v>17915.33064391337</v>
      </c>
      <c r="I44" s="77"/>
      <c r="J44" s="77"/>
      <c r="K44" s="109">
        <f>K42+K36</f>
        <v>17675.010028018205</v>
      </c>
    </row>
    <row r="45" spans="2:13" x14ac:dyDescent="0.25">
      <c r="B45" s="6"/>
      <c r="C45" s="6"/>
      <c r="D45" s="22" t="s">
        <v>167</v>
      </c>
      <c r="E45" s="68">
        <f>E44/Dados!E24</f>
        <v>10.249898722158289</v>
      </c>
      <c r="F45" s="119"/>
      <c r="H45" s="109">
        <f>H44/Dados!E24</f>
        <v>9.6215524403401567</v>
      </c>
      <c r="K45" s="109">
        <f>K44/Dados!E24</f>
        <v>9.4924865886241694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HfjoCsypUfn4wVu5QjMPfYoS85yjlXwQCnp0dszG3dIEVKS/qypFC1v9yfbM1hoVUIACuJxU4GNjlRTGls+KoA==" saltValue="w2Y7G0tVJFnHwjB9ZF8XaQ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2022-07-22T12:42:01Z</dcterms:modified>
</cp:coreProperties>
</file>