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351BDB44-42F6-4B8B-B59D-F309CE5C8B65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8" i="1" l="1"/>
  <c r="D37" i="1"/>
  <c r="D44" i="1" s="1"/>
  <c r="E31" i="1" l="1"/>
  <c r="C45" i="1" s="1"/>
  <c r="E14" i="4" l="1"/>
  <c r="E16" i="4" s="1"/>
  <c r="G11" i="3"/>
  <c r="E51" i="1"/>
  <c r="D45" i="1"/>
  <c r="E45" i="1" s="1"/>
  <c r="D36" i="1"/>
  <c r="D39" i="1" s="1"/>
  <c r="E15" i="4" l="1"/>
  <c r="D43" i="1"/>
  <c r="D46" i="1" s="1"/>
  <c r="E38" i="1"/>
  <c r="O44" i="3"/>
  <c r="D50" i="1" l="1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<sst xmlns="http://schemas.openxmlformats.org/spreadsheetml/2006/main" count="286" uniqueCount="192">
  <si>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</si>
  <si>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</si>
  <si>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</si>
  <si>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</si>
  <si>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</si>
  <si>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</si>
  <si>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</si>
  <si>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</si>
  <si>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</si>
  <si>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</si>
  <si>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</si>
  <si>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</si>
  <si>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</si>
  <si>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</si>
  <si>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</si>
  <si>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</si>
  <si>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</si>
  <si>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</si>
  <si>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</si>
  <si>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</si>
  <si>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</si>
  <si>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</si>
  <si>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</si>
  <si>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</si>
  <si>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</si>
  <si>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</si>
  <si>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</si>
  <si>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</si>
  <si>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</si>
  <si>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ÔNIBUS</t>
  </si>
  <si>
    <t>Capacidade mínima</t>
  </si>
  <si>
    <t>Combustível</t>
  </si>
  <si>
    <t>Diesel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</si>
  <si>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</si>
  <si>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</si>
  <si>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</si>
  <si>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</si>
  <si>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</si>
  <si>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</si>
  <si>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</si>
  <si>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</si>
  <si>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</si>
  <si>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</si>
  <si>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</si>
  <si>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</si>
  <si>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</si>
  <si>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</si>
  <si>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</si>
  <si>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</si>
  <si>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</si>
  <si>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</si>
  <si>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</si>
  <si>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</si>
  <si>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</si>
  <si>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</si>
  <si>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</si>
  <si>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</si>
  <si>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</si>
  <si>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</si>
  <si>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</si>
  <si>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</si>
  <si>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</si>
  <si>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</si>
  <si>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</si>
  <si>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</si>
  <si>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</si>
  <si>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</si>
  <si>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</si>
  <si>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</si>
  <si>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</si>
  <si>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</si>
  <si>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</si>
  <si>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</si>
  <si>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</si>
  <si>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</si>
  <si>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</si>
  <si>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</si>
  <si>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</si>
  <si>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</si>
  <si>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</si>
  <si>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</si>
  <si>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</si>
  <si>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</si>
  <si>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</si>
  <si>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</si>
  <si>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</si>
  <si>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</si>
  <si>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</si>
  <si>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</si>
  <si>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</si>
  <si>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</si>
  <si>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</si>
  <si>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</si>
  <si>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</si>
  <si>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</si>
  <si>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</si>
  <si>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</si>
  <si>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</si>
  <si>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</si>
  <si>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</si>
  <si>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</si>
  <si>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</si>
  <si>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</si>
  <si>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</si>
  <si>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</si>
  <si>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</si>
  <si>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</si>
  <si>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</si>
  <si>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</si>
  <si>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</si>
  <si>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</si>
  <si>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</si>
  <si>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</si>
  <si>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</si>
  <si>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</si>
  <si>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</si>
  <si>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</si>
  <si>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</si>
  <si>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</si>
  <si>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</si>
  <si>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</si>
  <si>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</si>
  <si>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</si>
  <si>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</si>
  <si>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</si>
  <si>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</si>
  <si>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</si>
  <si>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</si>
  <si>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</si>
  <si>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</si>
  <si>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</si>
  <si>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</si>
  <si>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</si>
  <si>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</si>
  <si>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</si>
  <si>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</si>
  <si>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</si>
  <si>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</si>
  <si>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</si>
  <si>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</si>
  <si>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</si>
  <si>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</si>
  <si>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</si>
  <si>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</si>
  <si>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</si>
  <si>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</si>
  <si>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</si>
  <si>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</si>
  <si>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</si>
  <si>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</si>
  <si>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</si>
  <si>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</si>
  <si>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</si>
  <si>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</si>
  <si>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</si>
  <si>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</si>
  <si>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</si>
  <si>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</si>
  <si>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</si>
  <si>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</si>
  <si>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</si>
  <si>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</si>
  <si>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</si>
  <si>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</si>
  <si>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</si>
  <si>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</si>
  <si>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</si>
  <si>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</si>
  <si>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</si>
  <si>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</si>
  <si>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</si>
  <si>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</si>
  <si>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</si>
  <si>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</si>
  <si>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</si>
  <si>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</si>
  <si>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</si>
  <si>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</si>
  <si>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</si>
  <si>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</si>
  <si>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</si>
  <si>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Manhã /tarde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</si>
  <si>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</si>
  <si>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</si>
  <si>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</si>
  <si>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</si>
  <si>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</si>
  <si>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</si>
  <si>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</si>
  <si>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RS001595/2017-2018</t>
  </si>
  <si>
    <t>DADOS DA CONTRATAÇÃO: LINHA 08</t>
  </si>
  <si>
    <t>ITEM 08- LINHA 08- ÁGUA FRIA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</si>
</sst>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7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10" fontId="0" fillId="0" borderId="3" xfId="0" applyNumberFormat="1" applyFont="1" applyBorder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0" fontId="11" fillId="0" borderId="4" xfId="0" applyFont="1" applyBorder="1" applyAlignment="1">
      <alignment horizontal="left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Border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Font="1" applyBorder="1" applyAlignment="1">
      <alignment horizontal="left"/>
    </xf>
    <xf numFmtId="10" fontId="0" fillId="0" borderId="3" xfId="0" applyNumberFormat="1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Font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6" fillId="0" borderId="3" xfId="4" applyFont="1" applyBorder="1"/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"/>
  <sheetViews>
    <sheetView view="pageBreakPreview" topLeftCell="A86" zoomScaleNormal="100" zoomScaleSheetLayoutView="100" workbookViewId="0">
      <selection activeCell="D103" sqref="D103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56" t="s">
        <v>177</v>
      </c>
      <c r="C2" s="256"/>
      <c r="D2" s="256"/>
      <c r="E2" s="256"/>
      <c r="F2" s="256"/>
      <c r="G2" s="256"/>
      <c r="H2" s="256"/>
      <c r="I2" s="139"/>
    </row>
    <row r="3" spans="2:9" x14ac:dyDescent="0.25">
      <c r="B3" s="212" t="s">
        <v>178</v>
      </c>
      <c r="C3" s="213"/>
      <c r="D3" s="213"/>
      <c r="E3" s="213"/>
      <c r="F3" s="213"/>
      <c r="G3" s="213"/>
      <c r="H3" s="213"/>
    </row>
    <row r="4" spans="2:9" x14ac:dyDescent="0.25">
      <c r="B4" s="5" t="s">
        <v>12</v>
      </c>
      <c r="C4" s="137" t="s">
        <v>0</v>
      </c>
      <c r="D4" s="137"/>
      <c r="E4" s="137"/>
      <c r="F4" s="137"/>
      <c r="G4" s="137"/>
      <c r="H4" s="137"/>
      <c r="I4" s="137"/>
    </row>
    <row r="6" spans="2:9" x14ac:dyDescent="0.25">
      <c r="B6" s="137" t="s">
        <v>190</v>
      </c>
      <c r="C6" s="137"/>
      <c r="D6" s="137"/>
      <c r="E6" s="137"/>
      <c r="F6" s="137"/>
      <c r="G6" s="137"/>
      <c r="H6" s="137"/>
      <c r="I6" s="137"/>
    </row>
    <row r="8" spans="2:9" s="6" customFormat="1" x14ac:dyDescent="0.25">
      <c r="B8" s="233" t="s">
        <v>4</v>
      </c>
      <c r="C8" s="233"/>
      <c r="D8" s="233"/>
      <c r="E8" s="233"/>
    </row>
    <row r="9" spans="2:9" x14ac:dyDescent="0.25">
      <c r="B9" s="217" t="s">
        <v>1</v>
      </c>
      <c r="C9" s="217"/>
      <c r="D9" s="217"/>
      <c r="E9" s="7">
        <v>92</v>
      </c>
    </row>
    <row r="10" spans="2:9" x14ac:dyDescent="0.25">
      <c r="B10" s="217" t="s">
        <v>2</v>
      </c>
      <c r="C10" s="217"/>
      <c r="D10" s="217"/>
      <c r="E10" s="8">
        <v>5</v>
      </c>
    </row>
    <row r="11" spans="2:9" x14ac:dyDescent="0.25">
      <c r="B11" s="217" t="s">
        <v>3</v>
      </c>
      <c r="C11" s="217"/>
      <c r="D11" s="217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23" t="s">
        <v>6</v>
      </c>
      <c r="C13" s="223"/>
      <c r="D13" s="223"/>
      <c r="E13" s="223"/>
    </row>
    <row r="14" spans="2:9" x14ac:dyDescent="0.25">
      <c r="B14" s="227" t="s">
        <v>5</v>
      </c>
      <c r="C14" s="227"/>
      <c r="D14" s="228" t="s">
        <v>180</v>
      </c>
      <c r="E14" s="228"/>
    </row>
    <row r="15" spans="2:9" x14ac:dyDescent="0.25">
      <c r="B15" s="229" t="s">
        <v>181</v>
      </c>
      <c r="C15" s="229"/>
      <c r="D15" s="230">
        <v>40</v>
      </c>
      <c r="E15" s="230"/>
    </row>
    <row r="17" spans="1:9" ht="15.75" customHeight="1" x14ac:dyDescent="0.25">
      <c r="B17" s="218" t="s">
        <v>188</v>
      </c>
      <c r="C17" s="219"/>
      <c r="D17" s="1"/>
      <c r="E17" s="2"/>
    </row>
    <row r="18" spans="1:9" ht="15" customHeight="1" x14ac:dyDescent="0.25">
      <c r="B18" s="224" t="s">
        <v>191</v>
      </c>
      <c r="C18" s="225"/>
      <c r="D18" s="225"/>
      <c r="E18" s="225"/>
      <c r="F18" s="64"/>
      <c r="G18" s="64"/>
      <c r="H18" s="64"/>
      <c r="I18" s="64"/>
    </row>
    <row r="19" spans="1:9" ht="43.5" hidden="1" customHeight="1" x14ac:dyDescent="0.25">
      <c r="B19" s="226"/>
      <c r="C19" s="226"/>
      <c r="D19" s="226"/>
      <c r="E19" s="226"/>
      <c r="F19" s="64"/>
      <c r="G19" s="64"/>
      <c r="H19" s="64"/>
      <c r="I19" s="64"/>
    </row>
    <row r="20" spans="1:9" x14ac:dyDescent="0.25">
      <c r="F20" s="64"/>
      <c r="G20" s="64"/>
      <c r="H20" s="64"/>
      <c r="I20" s="64"/>
    </row>
    <row r="21" spans="1:9" s="6" customFormat="1" x14ac:dyDescent="0.25">
      <c r="B21" s="231" t="s">
        <v>10</v>
      </c>
      <c r="C21" s="231"/>
      <c r="D21" s="231"/>
      <c r="E21" s="231"/>
      <c r="F21" s="64"/>
      <c r="G21" s="64"/>
      <c r="H21" s="64"/>
      <c r="I21" s="64"/>
    </row>
    <row r="22" spans="1:9" ht="47.25" x14ac:dyDescent="0.25">
      <c r="B22" s="12"/>
      <c r="C22" s="128" t="s">
        <v>187</v>
      </c>
      <c r="D22" s="128" t="s">
        <v>182</v>
      </c>
      <c r="E22" s="34" t="s">
        <v>9</v>
      </c>
    </row>
    <row r="23" spans="1:9" x14ac:dyDescent="0.25">
      <c r="B23" s="49" t="s">
        <v>57</v>
      </c>
      <c r="C23" s="105">
        <v>38</v>
      </c>
      <c r="D23" s="51">
        <v>38</v>
      </c>
      <c r="E23" s="51">
        <v>76</v>
      </c>
    </row>
    <row r="24" spans="1:9" x14ac:dyDescent="0.25">
      <c r="B24" s="13" t="s">
        <v>24</v>
      </c>
      <c r="C24" s="105">
        <f>C23*E11</f>
        <v>722</v>
      </c>
      <c r="D24" s="51">
        <f>D23*E11</f>
        <v>722</v>
      </c>
      <c r="E24" s="51">
        <f>C24+D24</f>
        <v>1444</v>
      </c>
    </row>
    <row r="25" spans="1:9" x14ac:dyDescent="0.25">
      <c r="B25" s="13" t="s">
        <v>58</v>
      </c>
      <c r="C25" s="105">
        <f>C23*E9</f>
        <v>3496</v>
      </c>
      <c r="D25" s="51">
        <f>D23*E9</f>
        <v>3496</v>
      </c>
      <c r="E25" s="51">
        <f>C25+D25</f>
        <v>6992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23" t="s">
        <v>11</v>
      </c>
      <c r="C27" s="223"/>
      <c r="D27" s="223"/>
      <c r="E27" s="223"/>
    </row>
    <row r="28" spans="1:9" x14ac:dyDescent="0.25">
      <c r="B28" s="12" t="s">
        <v>5</v>
      </c>
      <c r="C28" s="12" t="s">
        <v>7</v>
      </c>
      <c r="D28" s="12" t="s">
        <v>8</v>
      </c>
      <c r="E28" s="12" t="s">
        <v>9</v>
      </c>
    </row>
    <row r="29" spans="1:9" x14ac:dyDescent="0.25">
      <c r="B29" s="13" t="s">
        <v>16</v>
      </c>
      <c r="C29" s="14">
        <v>0.28125</v>
      </c>
      <c r="D29" s="14">
        <v>0.31944444444444448</v>
      </c>
      <c r="E29" s="14">
        <f>D29-C29</f>
        <v>3.8194444444444475E-2</v>
      </c>
    </row>
    <row r="30" spans="1:9" x14ac:dyDescent="0.25">
      <c r="B30" s="13" t="s">
        <v>15</v>
      </c>
      <c r="C30" s="14">
        <v>0.5</v>
      </c>
      <c r="D30" s="14">
        <v>0.53819444444444442</v>
      </c>
      <c r="E30" s="14">
        <f>D30-C30</f>
        <v>3.819444444444442E-2</v>
      </c>
    </row>
    <row r="31" spans="1:9" x14ac:dyDescent="0.25">
      <c r="B31" s="204" t="s">
        <v>183</v>
      </c>
      <c r="C31" s="205">
        <v>0.70833333333333337</v>
      </c>
      <c r="D31" s="206">
        <v>0.74652777777777779</v>
      </c>
      <c r="E31" s="14">
        <f>D31-C31</f>
        <v>3.819444444444442E-2</v>
      </c>
    </row>
    <row r="32" spans="1:9" x14ac:dyDescent="0.25">
      <c r="B32" s="220" t="s">
        <v>9</v>
      </c>
      <c r="C32" s="221"/>
      <c r="D32" s="222"/>
      <c r="E32" s="15">
        <f>SUM(E29:E31)</f>
        <v>0.11458333333333331</v>
      </c>
    </row>
    <row r="34" spans="2:9" x14ac:dyDescent="0.25">
      <c r="B34" s="135" t="s">
        <v>17</v>
      </c>
      <c r="C34" s="136"/>
      <c r="D34" s="136"/>
      <c r="E34" s="136"/>
      <c r="F34" s="136"/>
      <c r="G34" s="136"/>
      <c r="H34" s="136"/>
      <c r="I34" s="136"/>
    </row>
    <row r="35" spans="2:9" x14ac:dyDescent="0.25">
      <c r="B35" s="16"/>
      <c r="C35" s="17" t="s">
        <v>13</v>
      </c>
      <c r="D35" s="17" t="s">
        <v>14</v>
      </c>
      <c r="E35" s="17" t="s">
        <v>9</v>
      </c>
    </row>
    <row r="36" spans="2:9" x14ac:dyDescent="0.25">
      <c r="B36" s="18" t="str">
        <f>B29</f>
        <v>Rota 1</v>
      </c>
      <c r="C36" s="19">
        <f>D29-C29</f>
        <v>3.8194444444444475E-2</v>
      </c>
      <c r="D36" s="20">
        <f>(C30-D29)-D106</f>
        <v>7.6388888888888853E-2</v>
      </c>
      <c r="E36" s="19">
        <f>C36+D36</f>
        <v>0.11458333333333333</v>
      </c>
    </row>
    <row r="37" spans="2:9" x14ac:dyDescent="0.25">
      <c r="B37" s="18" t="str">
        <f>B30</f>
        <v>Rota 2</v>
      </c>
      <c r="C37" s="20">
        <f>D30-C30</f>
        <v>3.819444444444442E-2</v>
      </c>
      <c r="D37" s="19">
        <f>(C31-D30)-D106</f>
        <v>6.5972222222222279E-2</v>
      </c>
      <c r="E37" s="19">
        <f>C37+D37</f>
        <v>0.1041666666666667</v>
      </c>
    </row>
    <row r="38" spans="2:9" x14ac:dyDescent="0.25">
      <c r="B38" s="18" t="s">
        <v>183</v>
      </c>
      <c r="C38" s="20">
        <f>D31-C31</f>
        <v>3.819444444444442E-2</v>
      </c>
      <c r="D38" s="20">
        <v>0</v>
      </c>
      <c r="E38" s="20">
        <f>C38+D38</f>
        <v>3.819444444444442E-2</v>
      </c>
    </row>
    <row r="39" spans="2:9" x14ac:dyDescent="0.25">
      <c r="B39" s="18" t="s">
        <v>9</v>
      </c>
      <c r="C39" s="21">
        <f>SUM(C36:C38)</f>
        <v>0.11458333333333331</v>
      </c>
      <c r="D39" s="208">
        <f>SUM(D36:D38)</f>
        <v>0.14236111111111113</v>
      </c>
      <c r="E39" s="21">
        <f>SUM(E36:E38)</f>
        <v>0.25694444444444442</v>
      </c>
    </row>
    <row r="40" spans="2:9" ht="77.25" customHeight="1" x14ac:dyDescent="0.25">
      <c r="B40" s="6"/>
      <c r="C40" s="6"/>
      <c r="D40" s="22"/>
      <c r="E40" s="23"/>
    </row>
    <row r="41" spans="2:9" x14ac:dyDescent="0.25">
      <c r="B41" s="234" t="s">
        <v>18</v>
      </c>
      <c r="C41" s="235"/>
      <c r="D41" s="235"/>
      <c r="E41" s="235"/>
      <c r="F41" s="235"/>
      <c r="G41" s="235"/>
      <c r="H41" s="129"/>
      <c r="I41" s="129"/>
    </row>
    <row r="42" spans="2:9" x14ac:dyDescent="0.25">
      <c r="B42" s="16"/>
      <c r="C42" s="17" t="s">
        <v>13</v>
      </c>
      <c r="D42" s="17" t="s">
        <v>14</v>
      </c>
      <c r="E42" s="17" t="s">
        <v>9</v>
      </c>
    </row>
    <row r="43" spans="2:9" x14ac:dyDescent="0.25">
      <c r="B43" s="18" t="str">
        <f>B36</f>
        <v>Rota 1</v>
      </c>
      <c r="C43" s="57">
        <f>E29*24</f>
        <v>0.91666666666666741</v>
      </c>
      <c r="D43" s="24">
        <f>D36*24</f>
        <v>1.8333333333333326</v>
      </c>
      <c r="E43" s="57">
        <f>C43+D43</f>
        <v>2.75</v>
      </c>
    </row>
    <row r="44" spans="2:9" x14ac:dyDescent="0.25">
      <c r="B44" s="18" t="str">
        <f>B37</f>
        <v>Rota 2</v>
      </c>
      <c r="C44" s="57">
        <f>E30*24</f>
        <v>0.91666666666666607</v>
      </c>
      <c r="D44" s="57">
        <f>D37*24</f>
        <v>1.5833333333333348</v>
      </c>
      <c r="E44" s="57">
        <f>C44+D44</f>
        <v>2.5000000000000009</v>
      </c>
    </row>
    <row r="45" spans="2:9" x14ac:dyDescent="0.25">
      <c r="B45" s="18" t="s">
        <v>183</v>
      </c>
      <c r="C45" s="57">
        <f>E31*24</f>
        <v>0.91666666666666607</v>
      </c>
      <c r="D45" s="24">
        <f>D38*24</f>
        <v>0</v>
      </c>
      <c r="E45" s="57">
        <f>C45+D45</f>
        <v>0.91666666666666607</v>
      </c>
    </row>
    <row r="46" spans="2:9" x14ac:dyDescent="0.25">
      <c r="B46" s="18"/>
      <c r="C46" s="209">
        <f>SUM(C43:C45)</f>
        <v>2.7499999999999996</v>
      </c>
      <c r="D46" s="209">
        <f>SUM(D43:D45)</f>
        <v>3.4166666666666674</v>
      </c>
      <c r="E46" s="209">
        <f>SUM(E43:E45)</f>
        <v>6.166666666666667</v>
      </c>
    </row>
    <row r="47" spans="2:9" x14ac:dyDescent="0.25">
      <c r="B47" s="6"/>
      <c r="C47" s="6"/>
      <c r="D47" s="22"/>
      <c r="E47" s="25"/>
    </row>
    <row r="48" spans="2:9" x14ac:dyDescent="0.25">
      <c r="B48" s="243" t="s">
        <v>26</v>
      </c>
      <c r="C48" s="243"/>
      <c r="D48" s="243"/>
      <c r="E48" s="243"/>
      <c r="F48" s="243"/>
      <c r="G48" s="243"/>
      <c r="H48" s="243"/>
      <c r="I48" s="243"/>
    </row>
    <row r="49" spans="2:10" x14ac:dyDescent="0.25">
      <c r="B49" s="238" t="s">
        <v>19</v>
      </c>
      <c r="C49" s="17" t="s">
        <v>13</v>
      </c>
      <c r="D49" s="17" t="s">
        <v>14</v>
      </c>
      <c r="E49" s="17"/>
    </row>
    <row r="50" spans="2:10" x14ac:dyDescent="0.25">
      <c r="B50" s="239"/>
      <c r="C50" s="26">
        <f>(C43+C44+C45)*E11</f>
        <v>52.249999999999993</v>
      </c>
      <c r="D50" s="26">
        <f>(D43+D45)*E11</f>
        <v>34.833333333333321</v>
      </c>
      <c r="E50" s="27">
        <f>C50+D50</f>
        <v>87.083333333333314</v>
      </c>
    </row>
    <row r="51" spans="2:10" x14ac:dyDescent="0.25">
      <c r="B51" s="214" t="s">
        <v>173</v>
      </c>
      <c r="C51" s="215"/>
      <c r="D51" s="216"/>
      <c r="E51" s="27">
        <f>((6*5)+(1*4))*5</f>
        <v>170</v>
      </c>
      <c r="F51" s="63"/>
      <c r="G51" s="60"/>
      <c r="H51" s="6"/>
      <c r="I51" s="131"/>
      <c r="J51" s="22"/>
    </row>
    <row r="52" spans="2:10" x14ac:dyDescent="0.25">
      <c r="B52" s="214" t="s">
        <v>174</v>
      </c>
      <c r="C52" s="215"/>
      <c r="D52" s="216"/>
      <c r="E52" s="27">
        <f>((8*5)+(1*4))*5</f>
        <v>220</v>
      </c>
      <c r="F52" s="62"/>
      <c r="G52" s="60"/>
      <c r="H52" s="6"/>
      <c r="I52" s="132"/>
      <c r="J52" s="22"/>
    </row>
    <row r="53" spans="2:10" x14ac:dyDescent="0.25">
      <c r="B53" s="214" t="s">
        <v>21</v>
      </c>
      <c r="C53" s="215"/>
      <c r="D53" s="216"/>
      <c r="E53" s="28">
        <v>1</v>
      </c>
      <c r="F53" s="236"/>
      <c r="G53" s="237"/>
      <c r="H53" s="133"/>
      <c r="I53" s="134"/>
      <c r="J53" s="134"/>
    </row>
    <row r="54" spans="2:10" x14ac:dyDescent="0.25">
      <c r="B54" s="214" t="s">
        <v>25</v>
      </c>
      <c r="C54" s="215"/>
      <c r="D54" s="216"/>
      <c r="E54" s="27">
        <f>(E51*E53)/E52</f>
        <v>0.77272727272727271</v>
      </c>
      <c r="I54" s="127"/>
      <c r="J54" s="127"/>
    </row>
    <row r="55" spans="2:10" x14ac:dyDescent="0.25">
      <c r="B55" s="214" t="s">
        <v>20</v>
      </c>
      <c r="C55" s="215"/>
      <c r="D55" s="216"/>
      <c r="E55" s="27">
        <f>(C50*E53)/E52</f>
        <v>0.23749999999999996</v>
      </c>
      <c r="I55" s="130"/>
      <c r="J55" s="127"/>
    </row>
    <row r="56" spans="2:10" x14ac:dyDescent="0.25">
      <c r="B56" s="214" t="s">
        <v>22</v>
      </c>
      <c r="C56" s="215"/>
      <c r="D56" s="216"/>
      <c r="E56" s="27">
        <f>(D50*E53)/E52</f>
        <v>0.15833333333333327</v>
      </c>
      <c r="I56" s="130"/>
      <c r="J56" s="127"/>
    </row>
    <row r="57" spans="2:10" x14ac:dyDescent="0.25">
      <c r="B57" s="240" t="s">
        <v>23</v>
      </c>
      <c r="C57" s="241"/>
      <c r="D57" s="242"/>
      <c r="E57" s="31">
        <f>SUM(E55:E56)</f>
        <v>0.39583333333333326</v>
      </c>
      <c r="G57" s="32"/>
      <c r="I57" s="130"/>
      <c r="J57" s="127"/>
    </row>
    <row r="58" spans="2:10" x14ac:dyDescent="0.25">
      <c r="B58" s="10"/>
      <c r="C58" s="10"/>
      <c r="D58" s="10"/>
      <c r="E58" s="30"/>
    </row>
    <row r="59" spans="2:10" x14ac:dyDescent="0.25">
      <c r="B59" s="134" t="s">
        <v>45</v>
      </c>
      <c r="C59" s="134"/>
      <c r="D59" s="134"/>
      <c r="E59" s="134"/>
      <c r="F59" s="134"/>
      <c r="G59" s="134"/>
      <c r="H59" s="134"/>
      <c r="I59" s="134"/>
    </row>
    <row r="60" spans="2:10" x14ac:dyDescent="0.25">
      <c r="B60" s="232" t="s">
        <v>27</v>
      </c>
      <c r="C60" s="232"/>
      <c r="D60" s="232"/>
      <c r="E60" s="232"/>
    </row>
    <row r="61" spans="2:10" x14ac:dyDescent="0.25">
      <c r="B61" s="229" t="s">
        <v>28</v>
      </c>
      <c r="C61" s="229"/>
      <c r="D61" s="229"/>
      <c r="E61" s="35" t="s">
        <v>29</v>
      </c>
    </row>
    <row r="62" spans="2:10" x14ac:dyDescent="0.25">
      <c r="B62" s="214" t="s">
        <v>30</v>
      </c>
      <c r="C62" s="215"/>
      <c r="D62" s="216"/>
      <c r="E62" s="35">
        <f>D15</f>
        <v>40</v>
      </c>
    </row>
    <row r="63" spans="2:10" x14ac:dyDescent="0.25">
      <c r="B63" s="214" t="s">
        <v>31</v>
      </c>
      <c r="C63" s="215"/>
      <c r="D63" s="216"/>
      <c r="E63" s="35" t="s">
        <v>32</v>
      </c>
    </row>
    <row r="64" spans="2:10" x14ac:dyDescent="0.25">
      <c r="B64" s="214" t="s">
        <v>33</v>
      </c>
      <c r="C64" s="215"/>
      <c r="D64" s="216"/>
      <c r="E64" s="35">
        <v>2022</v>
      </c>
    </row>
    <row r="65" spans="2:9" x14ac:dyDescent="0.25">
      <c r="B65" s="36" t="s">
        <v>34</v>
      </c>
      <c r="C65" s="37"/>
      <c r="D65" s="38"/>
      <c r="E65" s="35">
        <v>3</v>
      </c>
    </row>
    <row r="66" spans="2:9" x14ac:dyDescent="0.25">
      <c r="B66" s="10"/>
      <c r="C66" s="10"/>
      <c r="D66" s="10"/>
      <c r="E66" s="39"/>
    </row>
    <row r="67" spans="2:9" x14ac:dyDescent="0.25">
      <c r="B67" s="240" t="s">
        <v>44</v>
      </c>
      <c r="C67" s="241"/>
      <c r="D67" s="241"/>
      <c r="E67" s="242"/>
    </row>
    <row r="68" spans="2:9" x14ac:dyDescent="0.25">
      <c r="B68" s="13" t="s">
        <v>37</v>
      </c>
      <c r="C68" s="40"/>
      <c r="D68" s="41">
        <v>1</v>
      </c>
      <c r="E68" s="42">
        <v>565000</v>
      </c>
    </row>
    <row r="69" spans="2:9" x14ac:dyDescent="0.25">
      <c r="B69" s="214" t="s">
        <v>38</v>
      </c>
      <c r="C69" s="215"/>
      <c r="D69" s="43">
        <v>1</v>
      </c>
      <c r="E69" s="27">
        <v>80</v>
      </c>
    </row>
    <row r="70" spans="2:9" x14ac:dyDescent="0.25">
      <c r="B70" s="214" t="s">
        <v>39</v>
      </c>
      <c r="C70" s="215"/>
      <c r="D70" s="43">
        <v>1</v>
      </c>
      <c r="E70" s="27" t="s">
        <v>46</v>
      </c>
    </row>
    <row r="71" spans="2:9" x14ac:dyDescent="0.25">
      <c r="B71" s="214" t="s">
        <v>40</v>
      </c>
      <c r="C71" s="215"/>
      <c r="D71" s="43">
        <v>1</v>
      </c>
      <c r="E71" s="27">
        <v>37.9</v>
      </c>
    </row>
    <row r="72" spans="2:9" x14ac:dyDescent="0.25">
      <c r="B72" s="249" t="s">
        <v>41</v>
      </c>
      <c r="C72" s="249"/>
      <c r="D72" s="43">
        <v>2</v>
      </c>
      <c r="E72" s="28">
        <v>141.16</v>
      </c>
    </row>
    <row r="73" spans="2:9" x14ac:dyDescent="0.25">
      <c r="B73" s="250" t="s">
        <v>42</v>
      </c>
      <c r="C73" s="251"/>
      <c r="D73" s="43">
        <v>1</v>
      </c>
      <c r="E73" s="27">
        <v>330</v>
      </c>
    </row>
    <row r="74" spans="2:9" x14ac:dyDescent="0.25">
      <c r="B74" s="247" t="s">
        <v>31</v>
      </c>
      <c r="C74" s="248"/>
      <c r="D74" s="43">
        <v>1</v>
      </c>
      <c r="E74" s="33">
        <v>7.61</v>
      </c>
    </row>
    <row r="75" spans="2:9" x14ac:dyDescent="0.25">
      <c r="B75" s="252" t="s">
        <v>165</v>
      </c>
      <c r="C75" s="252"/>
      <c r="D75" s="53">
        <v>0.15</v>
      </c>
      <c r="E75" s="42">
        <f>((E68-E78)*D75)/12</f>
        <v>5650</v>
      </c>
      <c r="I75" s="61"/>
    </row>
    <row r="76" spans="2:9" x14ac:dyDescent="0.25">
      <c r="B76" s="252" t="s">
        <v>166</v>
      </c>
      <c r="C76" s="252"/>
      <c r="D76" s="53">
        <v>0.1</v>
      </c>
      <c r="E76" s="42">
        <f>(((E68-E78)-E75)*D76)/12</f>
        <v>3719.5833333333335</v>
      </c>
      <c r="I76" s="61"/>
    </row>
    <row r="77" spans="2:9" x14ac:dyDescent="0.25">
      <c r="B77" s="247" t="s">
        <v>47</v>
      </c>
      <c r="C77" s="248"/>
      <c r="D77" s="53" t="s">
        <v>48</v>
      </c>
      <c r="E77" s="42">
        <v>17</v>
      </c>
    </row>
    <row r="78" spans="2:9" x14ac:dyDescent="0.25">
      <c r="B78" s="252" t="s">
        <v>43</v>
      </c>
      <c r="C78" s="252"/>
      <c r="D78" s="53">
        <v>0.2</v>
      </c>
      <c r="E78" s="42">
        <f>E68*D78</f>
        <v>113000</v>
      </c>
    </row>
    <row r="79" spans="2:9" x14ac:dyDescent="0.25">
      <c r="B79" s="36" t="s">
        <v>73</v>
      </c>
      <c r="C79" s="37"/>
      <c r="D79" s="43" t="s">
        <v>71</v>
      </c>
      <c r="E79" s="44">
        <v>0</v>
      </c>
    </row>
    <row r="80" spans="2:9" x14ac:dyDescent="0.25">
      <c r="B80" s="10"/>
      <c r="C80" s="10"/>
      <c r="D80" s="10"/>
      <c r="E80" s="69"/>
    </row>
    <row r="81" spans="1:5" x14ac:dyDescent="0.25">
      <c r="B81" s="243" t="s">
        <v>35</v>
      </c>
      <c r="C81" s="243"/>
      <c r="D81" s="243"/>
      <c r="E81" s="243"/>
    </row>
    <row r="82" spans="1:5" x14ac:dyDescent="0.25">
      <c r="A82" s="46"/>
      <c r="B82" s="244" t="s">
        <v>36</v>
      </c>
      <c r="C82" s="245"/>
      <c r="D82" s="245"/>
      <c r="E82" s="246"/>
    </row>
    <row r="83" spans="1:5" x14ac:dyDescent="0.25">
      <c r="B83" s="253" t="s">
        <v>50</v>
      </c>
      <c r="C83" s="254"/>
      <c r="D83" s="255"/>
      <c r="E83" s="52">
        <v>0.1</v>
      </c>
    </row>
    <row r="84" spans="1:5" ht="12" customHeight="1" x14ac:dyDescent="0.25">
      <c r="B84" s="6"/>
      <c r="C84" s="6"/>
      <c r="D84" s="22"/>
      <c r="E84" s="23"/>
    </row>
    <row r="85" spans="1:5" x14ac:dyDescent="0.25">
      <c r="B85" s="243" t="s">
        <v>49</v>
      </c>
      <c r="C85" s="243"/>
      <c r="D85" s="243"/>
      <c r="E85" s="243"/>
    </row>
    <row r="86" spans="1:5" x14ac:dyDescent="0.25">
      <c r="B86" s="244" t="s">
        <v>36</v>
      </c>
      <c r="C86" s="245"/>
      <c r="D86" s="245"/>
      <c r="E86" s="246"/>
    </row>
    <row r="87" spans="1:5" x14ac:dyDescent="0.25">
      <c r="B87" s="253" t="s">
        <v>50</v>
      </c>
      <c r="C87" s="254"/>
      <c r="D87" s="255"/>
      <c r="E87" s="52">
        <v>0.1</v>
      </c>
    </row>
    <row r="88" spans="1:5" ht="15.75" customHeight="1" x14ac:dyDescent="0.25">
      <c r="B88" s="47"/>
      <c r="C88" s="47"/>
      <c r="D88" s="47"/>
      <c r="E88" s="48"/>
    </row>
    <row r="89" spans="1:5" x14ac:dyDescent="0.25">
      <c r="B89" s="262" t="s">
        <v>53</v>
      </c>
      <c r="C89" s="262"/>
      <c r="D89" s="262"/>
      <c r="E89" s="262"/>
    </row>
    <row r="90" spans="1:5" x14ac:dyDescent="0.25">
      <c r="B90" s="70" t="s">
        <v>28</v>
      </c>
      <c r="C90" s="12" t="s">
        <v>54</v>
      </c>
      <c r="D90" s="12" t="s">
        <v>51</v>
      </c>
      <c r="E90" s="12" t="s">
        <v>52</v>
      </c>
    </row>
    <row r="91" spans="1:5" x14ac:dyDescent="0.25">
      <c r="B91" s="18" t="s">
        <v>55</v>
      </c>
      <c r="C91" s="45">
        <v>4</v>
      </c>
      <c r="D91" s="71">
        <v>40000</v>
      </c>
      <c r="E91" s="54">
        <v>2675.8</v>
      </c>
    </row>
    <row r="92" spans="1:5" x14ac:dyDescent="0.25">
      <c r="B92" s="18" t="s">
        <v>56</v>
      </c>
      <c r="C92" s="45">
        <v>2</v>
      </c>
      <c r="D92" s="71">
        <v>20000</v>
      </c>
      <c r="E92" s="54">
        <v>950</v>
      </c>
    </row>
    <row r="93" spans="1:5" x14ac:dyDescent="0.25">
      <c r="B93" s="6"/>
      <c r="C93" s="6"/>
      <c r="D93" s="22"/>
      <c r="E93" s="23"/>
    </row>
    <row r="94" spans="1:5" x14ac:dyDescent="0.25">
      <c r="B94" s="6"/>
      <c r="C94" s="6"/>
      <c r="D94" s="22"/>
      <c r="E94" s="23"/>
    </row>
    <row r="95" spans="1:5" s="55" customFormat="1" x14ac:dyDescent="0.25">
      <c r="B95" s="243" t="s">
        <v>59</v>
      </c>
      <c r="C95" s="243"/>
      <c r="D95" s="243"/>
      <c r="E95" s="243"/>
    </row>
    <row r="96" spans="1:5" x14ac:dyDescent="0.25">
      <c r="B96" s="263" t="s">
        <v>60</v>
      </c>
      <c r="C96" s="263"/>
      <c r="D96" s="264" t="s">
        <v>189</v>
      </c>
      <c r="E96" s="264"/>
    </row>
    <row r="97" spans="2:5" x14ac:dyDescent="0.25">
      <c r="B97" s="72" t="s">
        <v>61</v>
      </c>
      <c r="C97" s="72"/>
      <c r="D97" s="265" t="s">
        <v>62</v>
      </c>
      <c r="E97" s="265"/>
    </row>
    <row r="98" spans="2:5" x14ac:dyDescent="0.25">
      <c r="B98" s="266" t="s">
        <v>63</v>
      </c>
      <c r="C98" s="266"/>
      <c r="D98" s="22"/>
      <c r="E98" s="23"/>
    </row>
    <row r="99" spans="2:5" x14ac:dyDescent="0.25">
      <c r="B99" s="253" t="s">
        <v>64</v>
      </c>
      <c r="C99" s="254"/>
      <c r="D99" s="255"/>
      <c r="E99" s="50">
        <v>2595.1799999999998</v>
      </c>
    </row>
    <row r="100" spans="2:5" x14ac:dyDescent="0.25">
      <c r="B100" s="56"/>
      <c r="C100" s="56"/>
      <c r="D100" s="45" t="s">
        <v>52</v>
      </c>
      <c r="E100" s="51" t="s">
        <v>67</v>
      </c>
    </row>
    <row r="101" spans="2:5" x14ac:dyDescent="0.25">
      <c r="B101" s="260" t="s">
        <v>66</v>
      </c>
      <c r="C101" s="260"/>
      <c r="D101" s="57">
        <v>17.739999999999998</v>
      </c>
      <c r="E101" s="59">
        <v>0.05</v>
      </c>
    </row>
    <row r="102" spans="2:5" x14ac:dyDescent="0.25">
      <c r="B102" s="260" t="s">
        <v>65</v>
      </c>
      <c r="C102" s="260"/>
      <c r="D102" s="18">
        <v>0</v>
      </c>
      <c r="E102" s="59">
        <v>0.06</v>
      </c>
    </row>
    <row r="103" spans="2:5" x14ac:dyDescent="0.25">
      <c r="B103" s="260" t="s">
        <v>68</v>
      </c>
      <c r="C103" s="260"/>
      <c r="D103" s="18">
        <v>128.68</v>
      </c>
      <c r="E103" s="59">
        <v>0.2</v>
      </c>
    </row>
    <row r="104" spans="2:5" x14ac:dyDescent="0.25">
      <c r="B104" s="260" t="s">
        <v>69</v>
      </c>
      <c r="C104" s="260"/>
      <c r="D104" s="57">
        <v>0</v>
      </c>
      <c r="E104" s="21"/>
    </row>
    <row r="105" spans="2:5" x14ac:dyDescent="0.25">
      <c r="B105" s="260" t="s">
        <v>70</v>
      </c>
      <c r="C105" s="260"/>
      <c r="D105" s="58">
        <v>0</v>
      </c>
      <c r="E105" s="21"/>
    </row>
    <row r="106" spans="2:5" x14ac:dyDescent="0.25">
      <c r="B106" s="47" t="s">
        <v>184</v>
      </c>
      <c r="C106" s="47"/>
      <c r="D106" s="207">
        <v>0.10416666666666667</v>
      </c>
      <c r="E106" s="23"/>
    </row>
    <row r="107" spans="2:5" x14ac:dyDescent="0.25">
      <c r="B107" s="11"/>
      <c r="C107" s="11"/>
      <c r="D107" s="22"/>
      <c r="E107" s="23"/>
    </row>
    <row r="108" spans="2:5" x14ac:dyDescent="0.25">
      <c r="B108" s="261" t="s">
        <v>72</v>
      </c>
      <c r="C108" s="261"/>
      <c r="D108" s="261"/>
      <c r="E108" s="261"/>
    </row>
    <row r="109" spans="2:5" x14ac:dyDescent="0.25">
      <c r="B109" s="257"/>
      <c r="C109" s="258"/>
      <c r="D109" s="259"/>
      <c r="E109" s="12" t="s">
        <v>75</v>
      </c>
    </row>
    <row r="110" spans="2:5" x14ac:dyDescent="0.25">
      <c r="B110" s="229" t="s">
        <v>186</v>
      </c>
      <c r="C110" s="229"/>
      <c r="D110" s="229"/>
      <c r="E110" s="73">
        <v>0.05</v>
      </c>
    </row>
    <row r="111" spans="2:5" x14ac:dyDescent="0.25">
      <c r="B111" s="74"/>
      <c r="C111" s="74"/>
      <c r="D111" s="74"/>
      <c r="E111" s="74"/>
    </row>
    <row r="112" spans="2:5" x14ac:dyDescent="0.25">
      <c r="B112" s="75" t="s">
        <v>74</v>
      </c>
      <c r="C112" s="74"/>
      <c r="D112" s="74"/>
      <c r="E112" s="74"/>
    </row>
    <row r="113" spans="2:5" x14ac:dyDescent="0.25">
      <c r="B113" s="214" t="s">
        <v>76</v>
      </c>
      <c r="C113" s="241"/>
      <c r="D113" s="242"/>
      <c r="E113" s="76">
        <v>0.15</v>
      </c>
    </row>
    <row r="114" spans="2:5" x14ac:dyDescent="0.25">
      <c r="B114" s="10"/>
      <c r="C114" s="101"/>
      <c r="D114" s="101"/>
      <c r="E114" s="102"/>
    </row>
    <row r="115" spans="2:5" x14ac:dyDescent="0.25">
      <c r="B115" s="101" t="s">
        <v>164</v>
      </c>
      <c r="C115" s="101"/>
      <c r="D115" s="101"/>
      <c r="E115" s="102"/>
    </row>
    <row r="116" spans="2:5" x14ac:dyDescent="0.25">
      <c r="B116" s="95"/>
      <c r="C116" s="95" t="s">
        <v>162</v>
      </c>
      <c r="D116" s="95" t="s">
        <v>163</v>
      </c>
      <c r="E116" s="95" t="s">
        <v>136</v>
      </c>
    </row>
    <row r="117" spans="2:5" x14ac:dyDescent="0.25">
      <c r="B117" s="66" t="s">
        <v>157</v>
      </c>
      <c r="C117" s="96">
        <v>7.5999999999999998E-2</v>
      </c>
      <c r="D117" s="97">
        <v>0.03</v>
      </c>
      <c r="E117" s="97">
        <v>2.4199999999999999E-2</v>
      </c>
    </row>
    <row r="118" spans="2:5" x14ac:dyDescent="0.25">
      <c r="B118" s="66" t="s">
        <v>158</v>
      </c>
      <c r="C118" s="96">
        <v>1.6500000000000001E-2</v>
      </c>
      <c r="D118" s="97">
        <v>6.4999999999999997E-3</v>
      </c>
      <c r="E118" s="97">
        <v>5.7000000000000002E-3</v>
      </c>
    </row>
    <row r="119" spans="2:5" x14ac:dyDescent="0.25">
      <c r="B119" s="66" t="s">
        <v>159</v>
      </c>
      <c r="C119" s="96">
        <v>0.05</v>
      </c>
      <c r="D119" s="97">
        <v>0.05</v>
      </c>
      <c r="E119" s="98">
        <v>0.05</v>
      </c>
    </row>
    <row r="120" spans="2:5" x14ac:dyDescent="0.25">
      <c r="B120" s="66"/>
      <c r="C120" s="99">
        <f>SUM(C117:C119)</f>
        <v>0.14250000000000002</v>
      </c>
      <c r="D120" s="100">
        <f>SUM(D117:D119)</f>
        <v>8.6499999999999994E-2</v>
      </c>
      <c r="E120" s="100">
        <f>SUM(E117:E119)</f>
        <v>7.9899999999999999E-2</v>
      </c>
    </row>
  </sheetData>
  <mergeCells count="65"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  <mergeCell ref="B99:D99"/>
    <mergeCell ref="B85:E85"/>
    <mergeCell ref="B83:D83"/>
    <mergeCell ref="B87:D87"/>
    <mergeCell ref="B86:E86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zoomScaleNormal="100" zoomScaleSheetLayoutView="100" workbookViewId="0">
      <selection activeCell="G11" sqref="G11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40"/>
      <c r="C2" s="140"/>
      <c r="D2" s="340" t="s">
        <v>169</v>
      </c>
      <c r="E2" s="340"/>
      <c r="F2" s="340"/>
      <c r="G2" s="340"/>
      <c r="H2" s="140"/>
      <c r="I2" s="140"/>
      <c r="J2" s="140" t="s">
        <v>136</v>
      </c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</row>
    <row r="3" spans="2:24" x14ac:dyDescent="0.25">
      <c r="B3" s="267" t="s">
        <v>77</v>
      </c>
      <c r="C3" s="267"/>
      <c r="D3" s="267"/>
      <c r="E3" s="267"/>
      <c r="F3" s="267"/>
      <c r="G3" s="141" t="s">
        <v>78</v>
      </c>
      <c r="H3" s="140"/>
      <c r="I3" s="140"/>
      <c r="J3" s="141" t="s">
        <v>78</v>
      </c>
      <c r="K3" s="140"/>
      <c r="L3" s="140"/>
      <c r="M3" s="142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</row>
    <row r="4" spans="2:24" x14ac:dyDescent="0.25">
      <c r="B4" s="277" t="s">
        <v>64</v>
      </c>
      <c r="C4" s="278"/>
      <c r="D4" s="278"/>
      <c r="E4" s="279"/>
      <c r="F4" s="143"/>
      <c r="G4" s="144">
        <v>2595.1799999999998</v>
      </c>
      <c r="H4" s="140"/>
      <c r="I4" s="140"/>
      <c r="J4" s="144">
        <f>G4</f>
        <v>2595.1799999999998</v>
      </c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</row>
    <row r="5" spans="2:24" x14ac:dyDescent="0.25">
      <c r="B5" s="274"/>
      <c r="C5" s="275"/>
      <c r="D5" s="275"/>
      <c r="E5" s="276"/>
      <c r="F5" s="143"/>
      <c r="G5" s="143"/>
      <c r="H5" s="140"/>
      <c r="I5" s="140"/>
      <c r="J5" s="143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</row>
    <row r="6" spans="2:24" x14ac:dyDescent="0.25">
      <c r="B6" s="280" t="s">
        <v>79</v>
      </c>
      <c r="C6" s="281"/>
      <c r="D6" s="281"/>
      <c r="E6" s="282"/>
      <c r="F6" s="143"/>
      <c r="G6" s="67">
        <f>SUM(G4:G5)</f>
        <v>2595.1799999999998</v>
      </c>
      <c r="H6" s="140"/>
      <c r="I6" s="140"/>
      <c r="J6" s="67">
        <f>SUM(J4:J5)</f>
        <v>2595.1799999999998</v>
      </c>
      <c r="K6" s="140"/>
      <c r="L6" s="140"/>
      <c r="M6" s="145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</row>
    <row r="7" spans="2:24" x14ac:dyDescent="0.25"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</row>
    <row r="8" spans="2:24" x14ac:dyDescent="0.25">
      <c r="B8" s="267" t="s">
        <v>80</v>
      </c>
      <c r="C8" s="267"/>
      <c r="D8" s="267"/>
      <c r="E8" s="267"/>
      <c r="F8" s="267"/>
      <c r="G8" s="141" t="s">
        <v>78</v>
      </c>
      <c r="H8" s="140"/>
      <c r="I8" s="140"/>
      <c r="J8" s="141" t="s">
        <v>78</v>
      </c>
      <c r="K8" s="140"/>
      <c r="L8" s="140"/>
      <c r="M8" s="142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</row>
    <row r="9" spans="2:24" x14ac:dyDescent="0.25">
      <c r="B9" s="273" t="s">
        <v>81</v>
      </c>
      <c r="C9" s="273"/>
      <c r="D9" s="273"/>
      <c r="E9" s="273"/>
      <c r="F9" s="146"/>
      <c r="G9" s="147">
        <v>0</v>
      </c>
      <c r="H9" s="140"/>
      <c r="I9" s="140"/>
      <c r="J9" s="147">
        <f>G9</f>
        <v>0</v>
      </c>
      <c r="K9" s="140"/>
      <c r="L9" s="140"/>
      <c r="M9" s="148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</row>
    <row r="10" spans="2:24" x14ac:dyDescent="0.25">
      <c r="B10" s="146" t="s">
        <v>185</v>
      </c>
      <c r="C10" s="146"/>
      <c r="D10" s="146"/>
      <c r="E10" s="146"/>
      <c r="F10" s="146"/>
      <c r="G10" s="147">
        <v>337.06</v>
      </c>
      <c r="H10" s="140"/>
      <c r="I10" s="140"/>
      <c r="J10" s="147">
        <f>G10</f>
        <v>337.06</v>
      </c>
      <c r="K10" s="140"/>
      <c r="L10" s="140"/>
      <c r="M10" s="145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</row>
    <row r="11" spans="2:24" x14ac:dyDescent="0.25">
      <c r="B11" s="273" t="s">
        <v>82</v>
      </c>
      <c r="C11" s="273"/>
      <c r="D11" s="273"/>
      <c r="E11" s="273"/>
      <c r="F11" s="146"/>
      <c r="G11" s="147">
        <f>(Dados!D103-(Dados!D103*20%))</f>
        <v>102.944</v>
      </c>
      <c r="H11" s="140"/>
      <c r="I11" s="140"/>
      <c r="J11" s="147">
        <f>G11</f>
        <v>102.944</v>
      </c>
      <c r="K11" s="140"/>
      <c r="L11" s="140"/>
      <c r="M11" s="145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</row>
    <row r="12" spans="2:24" x14ac:dyDescent="0.25">
      <c r="B12" s="273" t="s">
        <v>83</v>
      </c>
      <c r="C12" s="273"/>
      <c r="D12" s="273"/>
      <c r="E12" s="273"/>
      <c r="F12" s="146"/>
      <c r="G12" s="147">
        <v>0</v>
      </c>
      <c r="H12" s="140"/>
      <c r="I12" s="140"/>
      <c r="J12" s="147">
        <f>G12</f>
        <v>0</v>
      </c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</row>
    <row r="13" spans="2:24" x14ac:dyDescent="0.25">
      <c r="B13" s="273" t="s">
        <v>84</v>
      </c>
      <c r="C13" s="273"/>
      <c r="D13" s="273"/>
      <c r="E13" s="273"/>
      <c r="F13" s="146"/>
      <c r="G13" s="147">
        <f>Dados!D104</f>
        <v>0</v>
      </c>
      <c r="H13" s="140"/>
      <c r="I13" s="140"/>
      <c r="J13" s="147">
        <f>G13</f>
        <v>0</v>
      </c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</row>
    <row r="14" spans="2:24" x14ac:dyDescent="0.25">
      <c r="B14" s="273" t="s">
        <v>85</v>
      </c>
      <c r="C14" s="273"/>
      <c r="D14" s="273"/>
      <c r="E14" s="273"/>
      <c r="F14" s="146"/>
      <c r="G14" s="147"/>
      <c r="H14" s="140"/>
      <c r="I14" s="140"/>
      <c r="J14" s="147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</row>
    <row r="15" spans="2:24" x14ac:dyDescent="0.25">
      <c r="B15" s="149" t="s">
        <v>86</v>
      </c>
      <c r="C15" s="149"/>
      <c r="D15" s="149"/>
      <c r="E15" s="149"/>
      <c r="F15" s="149"/>
      <c r="G15" s="150">
        <f>SUM(G9:G14)</f>
        <v>440.00400000000002</v>
      </c>
      <c r="H15" s="140"/>
      <c r="I15" s="140"/>
      <c r="J15" s="150">
        <f>SUM(J9:J14)</f>
        <v>440.00400000000002</v>
      </c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</row>
    <row r="16" spans="2:24" x14ac:dyDescent="0.25"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</row>
    <row r="17" spans="1:24" x14ac:dyDescent="0.25">
      <c r="B17" s="283" t="s">
        <v>87</v>
      </c>
      <c r="C17" s="283"/>
      <c r="D17" s="283"/>
      <c r="E17" s="283"/>
      <c r="F17" s="283"/>
      <c r="G17" s="138" t="s">
        <v>78</v>
      </c>
      <c r="H17" s="140"/>
      <c r="I17" s="140"/>
      <c r="J17" s="138" t="s">
        <v>78</v>
      </c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</row>
    <row r="18" spans="1:24" x14ac:dyDescent="0.25">
      <c r="B18" s="284" t="s">
        <v>88</v>
      </c>
      <c r="C18" s="284"/>
      <c r="D18" s="284"/>
      <c r="E18" s="284"/>
      <c r="F18" s="143"/>
      <c r="G18" s="151">
        <v>0</v>
      </c>
      <c r="H18" s="140"/>
      <c r="I18" s="140"/>
      <c r="J18" s="151">
        <f>G18</f>
        <v>0</v>
      </c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</row>
    <row r="19" spans="1:24" x14ac:dyDescent="0.25">
      <c r="B19" s="308" t="s">
        <v>89</v>
      </c>
      <c r="C19" s="308"/>
      <c r="D19" s="308"/>
      <c r="E19" s="308"/>
      <c r="F19" s="143"/>
      <c r="G19" s="79">
        <v>0</v>
      </c>
      <c r="H19" s="140"/>
      <c r="I19" s="140"/>
      <c r="J19" s="79">
        <f>SUM(J18)</f>
        <v>0</v>
      </c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</row>
    <row r="20" spans="1:24" x14ac:dyDescent="0.25"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</row>
    <row r="21" spans="1:24" x14ac:dyDescent="0.25">
      <c r="B21" s="267" t="s">
        <v>90</v>
      </c>
      <c r="C21" s="267"/>
      <c r="D21" s="267"/>
      <c r="E21" s="267"/>
      <c r="F21" s="267"/>
      <c r="G21" s="141" t="s">
        <v>78</v>
      </c>
      <c r="H21" s="140"/>
      <c r="I21" s="140"/>
      <c r="J21" s="141" t="s">
        <v>78</v>
      </c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</row>
    <row r="22" spans="1:24" x14ac:dyDescent="0.25">
      <c r="B22" s="310" t="s">
        <v>91</v>
      </c>
      <c r="C22" s="310"/>
      <c r="D22" s="310"/>
      <c r="E22" s="310"/>
      <c r="F22" s="143"/>
      <c r="G22" s="151">
        <f>G6/12</f>
        <v>216.26499999999999</v>
      </c>
      <c r="H22" s="140"/>
      <c r="I22" s="140"/>
      <c r="J22" s="151">
        <f>J6/12</f>
        <v>216.26499999999999</v>
      </c>
      <c r="K22" s="140"/>
      <c r="L22" s="140"/>
      <c r="M22" s="145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</row>
    <row r="23" spans="1:24" x14ac:dyDescent="0.25">
      <c r="B23" s="309" t="s">
        <v>92</v>
      </c>
      <c r="C23" s="309"/>
      <c r="D23" s="309"/>
      <c r="E23" s="309"/>
      <c r="F23" s="309"/>
      <c r="G23" s="79">
        <f>SUM(G22)</f>
        <v>216.26499999999999</v>
      </c>
      <c r="H23" s="140"/>
      <c r="I23" s="140"/>
      <c r="J23" s="79">
        <f>SUM(J22)</f>
        <v>216.26499999999999</v>
      </c>
      <c r="K23" s="140"/>
      <c r="L23" s="140"/>
      <c r="M23" s="140"/>
      <c r="N23" s="140"/>
      <c r="O23" s="203"/>
      <c r="P23" s="203"/>
      <c r="Q23" s="203"/>
      <c r="R23" s="203"/>
      <c r="S23" s="203"/>
      <c r="T23" s="203"/>
      <c r="U23" s="140"/>
      <c r="V23" s="140"/>
      <c r="W23" s="140"/>
      <c r="X23" s="140"/>
    </row>
    <row r="24" spans="1:24" x14ac:dyDescent="0.25">
      <c r="A24" s="6"/>
      <c r="B24" s="322"/>
      <c r="C24" s="322"/>
      <c r="D24" s="322"/>
      <c r="E24" s="322"/>
      <c r="F24" s="322"/>
      <c r="G24" s="152"/>
      <c r="H24" s="153"/>
      <c r="I24" s="153"/>
      <c r="J24" s="152"/>
      <c r="K24" s="153"/>
      <c r="L24" s="140"/>
      <c r="M24" s="140"/>
      <c r="N24" s="140"/>
      <c r="O24" s="203"/>
      <c r="P24" s="203"/>
      <c r="Q24" s="203"/>
      <c r="R24" s="203"/>
      <c r="S24" s="203"/>
      <c r="T24" s="203"/>
      <c r="U24" s="140"/>
      <c r="V24" s="140"/>
      <c r="W24" s="140"/>
      <c r="X24" s="140"/>
    </row>
    <row r="25" spans="1:24" x14ac:dyDescent="0.25">
      <c r="B25" s="267" t="s">
        <v>98</v>
      </c>
      <c r="C25" s="267"/>
      <c r="D25" s="267"/>
      <c r="E25" s="267"/>
      <c r="F25" s="267"/>
      <c r="G25" s="141" t="s">
        <v>78</v>
      </c>
      <c r="H25" s="140"/>
      <c r="I25" s="140"/>
      <c r="J25" s="141" t="s">
        <v>78</v>
      </c>
      <c r="K25" s="140"/>
      <c r="L25" s="140"/>
      <c r="M25" s="140"/>
      <c r="N25" s="140"/>
      <c r="O25" s="154"/>
      <c r="P25" s="140"/>
      <c r="Q25" s="140"/>
      <c r="R25" s="140"/>
      <c r="S25" s="140"/>
      <c r="T25" s="140"/>
      <c r="U25" s="140"/>
      <c r="V25" s="140"/>
      <c r="W25" s="140"/>
      <c r="X25" s="140"/>
    </row>
    <row r="26" spans="1:24" x14ac:dyDescent="0.25">
      <c r="B26" s="268" t="s">
        <v>118</v>
      </c>
      <c r="C26" s="269"/>
      <c r="D26" s="269"/>
      <c r="E26" s="269"/>
      <c r="F26" s="270"/>
      <c r="G26" s="155">
        <v>0</v>
      </c>
      <c r="H26" s="140"/>
      <c r="I26" s="140"/>
      <c r="J26" s="155">
        <v>0</v>
      </c>
      <c r="K26" s="140"/>
      <c r="L26" s="140"/>
      <c r="M26" s="145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</row>
    <row r="27" spans="1:24" s="6" customFormat="1" x14ac:dyDescent="0.25">
      <c r="B27" s="323" t="s">
        <v>102</v>
      </c>
      <c r="C27" s="269"/>
      <c r="D27" s="269"/>
      <c r="E27" s="269"/>
      <c r="F27" s="270"/>
      <c r="G27" s="156">
        <f>SUM(G26)</f>
        <v>0</v>
      </c>
      <c r="H27" s="153"/>
      <c r="I27" s="153"/>
      <c r="J27" s="156">
        <f>SUM(J26)</f>
        <v>0</v>
      </c>
      <c r="K27" s="153"/>
      <c r="L27" s="153"/>
      <c r="M27" s="157"/>
      <c r="N27" s="153"/>
      <c r="O27" s="153"/>
      <c r="P27" s="153"/>
      <c r="Q27" s="153"/>
      <c r="R27" s="158"/>
      <c r="S27" s="153"/>
      <c r="T27" s="153"/>
      <c r="U27" s="153"/>
      <c r="V27" s="153"/>
      <c r="W27" s="153"/>
      <c r="X27" s="153"/>
    </row>
    <row r="28" spans="1:24" s="6" customFormat="1" ht="31.5" customHeight="1" x14ac:dyDescent="0.25">
      <c r="B28" s="152"/>
      <c r="C28" s="152"/>
      <c r="D28" s="152"/>
      <c r="E28" s="152"/>
      <c r="F28" s="152"/>
      <c r="G28" s="152"/>
      <c r="H28" s="153"/>
      <c r="I28" s="153"/>
      <c r="J28" s="152"/>
      <c r="K28" s="153"/>
      <c r="L28" s="153"/>
      <c r="M28" s="157"/>
      <c r="N28" s="153"/>
      <c r="O28" s="153"/>
      <c r="P28" s="153"/>
      <c r="Q28" s="153"/>
      <c r="R28" s="272"/>
      <c r="S28" s="272"/>
      <c r="T28" s="272"/>
      <c r="U28" s="153"/>
      <c r="V28" s="153"/>
      <c r="W28" s="153"/>
      <c r="X28" s="153"/>
    </row>
    <row r="29" spans="1:24" x14ac:dyDescent="0.25">
      <c r="B29" s="267" t="s">
        <v>99</v>
      </c>
      <c r="C29" s="267"/>
      <c r="D29" s="267"/>
      <c r="E29" s="267"/>
      <c r="F29" s="267"/>
      <c r="G29" s="141" t="s">
        <v>78</v>
      </c>
      <c r="H29" s="140"/>
      <c r="I29" s="140"/>
      <c r="J29" s="141" t="s">
        <v>78</v>
      </c>
      <c r="K29" s="140"/>
      <c r="L29" s="140"/>
      <c r="M29" s="140"/>
      <c r="N29" s="140"/>
      <c r="O29" s="140"/>
      <c r="P29" s="140"/>
      <c r="Q29" s="140"/>
      <c r="R29" s="159"/>
      <c r="S29" s="159"/>
      <c r="T29" s="159"/>
      <c r="U29" s="140"/>
      <c r="V29" s="140"/>
      <c r="W29" s="140"/>
      <c r="X29" s="140"/>
    </row>
    <row r="30" spans="1:24" x14ac:dyDescent="0.25">
      <c r="B30" s="328" t="s">
        <v>93</v>
      </c>
      <c r="C30" s="329"/>
      <c r="D30" s="330"/>
      <c r="E30" s="324">
        <v>0.2</v>
      </c>
      <c r="F30" s="325"/>
      <c r="G30" s="143">
        <f>G6*E30</f>
        <v>519.03599999999994</v>
      </c>
      <c r="H30" s="140"/>
      <c r="I30" s="160">
        <f>E30</f>
        <v>0.2</v>
      </c>
      <c r="J30" s="143">
        <f>G30</f>
        <v>519.03599999999994</v>
      </c>
      <c r="K30" s="140"/>
      <c r="L30" s="140"/>
      <c r="M30" s="145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</row>
    <row r="31" spans="1:24" x14ac:dyDescent="0.25">
      <c r="B31" s="313" t="s">
        <v>94</v>
      </c>
      <c r="C31" s="314"/>
      <c r="D31" s="315"/>
      <c r="E31" s="326">
        <v>0.03</v>
      </c>
      <c r="F31" s="327"/>
      <c r="G31" s="151">
        <v>0</v>
      </c>
      <c r="H31" s="140"/>
      <c r="I31" s="160">
        <f>E31</f>
        <v>0.03</v>
      </c>
      <c r="J31" s="151">
        <f>G31</f>
        <v>0</v>
      </c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</row>
    <row r="32" spans="1:24" x14ac:dyDescent="0.25">
      <c r="B32" s="313" t="s">
        <v>95</v>
      </c>
      <c r="C32" s="314"/>
      <c r="D32" s="315"/>
      <c r="E32" s="311">
        <v>2.5000000000000001E-2</v>
      </c>
      <c r="F32" s="312"/>
      <c r="G32" s="151">
        <v>0</v>
      </c>
      <c r="H32" s="154"/>
      <c r="I32" s="140">
        <v>0</v>
      </c>
      <c r="J32" s="151">
        <v>0</v>
      </c>
      <c r="K32" s="140"/>
      <c r="L32" s="140"/>
      <c r="M32" s="271"/>
      <c r="N32" s="271"/>
      <c r="O32" s="271"/>
      <c r="P32" s="271"/>
      <c r="Q32" s="271"/>
      <c r="R32" s="271"/>
      <c r="S32" s="271"/>
      <c r="T32" s="271"/>
      <c r="U32" s="140"/>
      <c r="V32" s="140"/>
      <c r="W32" s="140"/>
      <c r="X32" s="140"/>
    </row>
    <row r="33" spans="2:24" x14ac:dyDescent="0.25">
      <c r="B33" s="313" t="s">
        <v>179</v>
      </c>
      <c r="C33" s="314"/>
      <c r="D33" s="315"/>
      <c r="E33" s="311">
        <v>3.3000000000000002E-2</v>
      </c>
      <c r="F33" s="312"/>
      <c r="G33" s="151">
        <v>0</v>
      </c>
      <c r="H33" s="85">
        <f>G32+G33</f>
        <v>0</v>
      </c>
      <c r="I33" s="140">
        <v>0</v>
      </c>
      <c r="J33" s="151">
        <v>0</v>
      </c>
      <c r="K33" s="140"/>
      <c r="L33" s="140"/>
      <c r="M33" s="271"/>
      <c r="N33" s="271"/>
      <c r="O33" s="271"/>
      <c r="P33" s="271"/>
      <c r="Q33" s="271"/>
      <c r="R33" s="271"/>
      <c r="S33" s="271"/>
      <c r="T33" s="271"/>
      <c r="U33" s="140"/>
      <c r="V33" s="140"/>
      <c r="W33" s="140"/>
      <c r="X33" s="140"/>
    </row>
    <row r="34" spans="2:24" x14ac:dyDescent="0.25">
      <c r="B34" s="313" t="s">
        <v>96</v>
      </c>
      <c r="C34" s="314"/>
      <c r="D34" s="315"/>
      <c r="E34" s="311">
        <v>0.08</v>
      </c>
      <c r="F34" s="312"/>
      <c r="G34" s="151">
        <f>G6*E34</f>
        <v>207.61439999999999</v>
      </c>
      <c r="H34" s="140"/>
      <c r="I34" s="160">
        <f>E34</f>
        <v>0.08</v>
      </c>
      <c r="J34" s="151">
        <f>G34</f>
        <v>207.61439999999999</v>
      </c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</row>
    <row r="35" spans="2:24" x14ac:dyDescent="0.25">
      <c r="B35" s="316" t="s">
        <v>97</v>
      </c>
      <c r="C35" s="316"/>
      <c r="D35" s="316"/>
      <c r="E35" s="317">
        <f>SUM(E30:E34)</f>
        <v>0.36800000000000005</v>
      </c>
      <c r="F35" s="318"/>
      <c r="G35" s="151">
        <f>SUM(G30:G34)</f>
        <v>726.65039999999999</v>
      </c>
      <c r="H35" s="140"/>
      <c r="I35" s="161">
        <f>SUM(I30:I34)</f>
        <v>0.31</v>
      </c>
      <c r="J35" s="162">
        <f>SUM(J30:J34)</f>
        <v>726.65039999999999</v>
      </c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</row>
    <row r="36" spans="2:24" x14ac:dyDescent="0.25">
      <c r="B36" s="319" t="s">
        <v>100</v>
      </c>
      <c r="C36" s="319"/>
      <c r="D36" s="319"/>
      <c r="E36" s="319"/>
      <c r="F36" s="320"/>
      <c r="G36" s="151">
        <f>G23*E35</f>
        <v>79.585520000000002</v>
      </c>
      <c r="H36" s="140"/>
      <c r="I36" s="140"/>
      <c r="J36" s="151">
        <f>J23*I35</f>
        <v>67.042149999999992</v>
      </c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</row>
    <row r="37" spans="2:24" x14ac:dyDescent="0.25">
      <c r="B37" s="321" t="s">
        <v>101</v>
      </c>
      <c r="C37" s="321"/>
      <c r="D37" s="321"/>
      <c r="E37" s="321"/>
      <c r="F37" s="321"/>
      <c r="G37" s="79">
        <f>SUM(G34:G36)</f>
        <v>1013.8503199999999</v>
      </c>
      <c r="H37" s="140"/>
      <c r="I37" s="140"/>
      <c r="J37" s="79">
        <f>SUM(J34:J36)</f>
        <v>1001.3069499999999</v>
      </c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</row>
    <row r="38" spans="2:24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</row>
    <row r="39" spans="2:24" x14ac:dyDescent="0.25">
      <c r="B39" s="267" t="s">
        <v>108</v>
      </c>
      <c r="C39" s="267"/>
      <c r="D39" s="267"/>
      <c r="E39" s="267"/>
      <c r="F39" s="267"/>
      <c r="G39" s="163" t="s">
        <v>78</v>
      </c>
      <c r="H39" s="140"/>
      <c r="I39" s="140"/>
      <c r="J39" s="163" t="s">
        <v>78</v>
      </c>
      <c r="K39" s="140"/>
      <c r="L39" s="140"/>
      <c r="M39" s="164"/>
      <c r="N39" s="164"/>
      <c r="O39" s="164"/>
      <c r="P39" s="164"/>
      <c r="Q39" s="333">
        <f>G6+G22+O25</f>
        <v>2811.4449999999997</v>
      </c>
      <c r="R39" s="305"/>
      <c r="S39" s="305"/>
      <c r="T39" s="306"/>
      <c r="U39" s="303"/>
      <c r="V39" s="303"/>
      <c r="W39" s="303"/>
      <c r="X39" s="303"/>
    </row>
    <row r="40" spans="2:24" x14ac:dyDescent="0.25">
      <c r="B40" s="284" t="s">
        <v>103</v>
      </c>
      <c r="C40" s="284"/>
      <c r="D40" s="284"/>
      <c r="E40" s="78"/>
      <c r="F40" s="143"/>
      <c r="G40" s="151">
        <f>T44</f>
        <v>38.52918511490617</v>
      </c>
      <c r="H40" s="140"/>
      <c r="I40" s="140"/>
      <c r="J40" s="151">
        <f>G40</f>
        <v>38.52918511490617</v>
      </c>
      <c r="K40" s="140"/>
      <c r="L40" s="140"/>
      <c r="M40" s="165" t="s">
        <v>129</v>
      </c>
      <c r="N40" s="164"/>
      <c r="O40" s="164"/>
      <c r="P40" s="164"/>
      <c r="Q40" s="334"/>
      <c r="R40" s="305"/>
      <c r="S40" s="305"/>
      <c r="T40" s="307"/>
      <c r="U40" s="304"/>
      <c r="V40" s="304"/>
      <c r="W40" s="304"/>
      <c r="X40" s="304"/>
    </row>
    <row r="41" spans="2:24" x14ac:dyDescent="0.25">
      <c r="B41" s="284" t="s">
        <v>104</v>
      </c>
      <c r="C41" s="284"/>
      <c r="D41" s="284"/>
      <c r="E41" s="78"/>
      <c r="F41" s="166">
        <f>E34</f>
        <v>0.08</v>
      </c>
      <c r="G41" s="151">
        <f>G40*F41</f>
        <v>3.0823348091924938</v>
      </c>
      <c r="H41" s="140"/>
      <c r="I41" s="140"/>
      <c r="J41" s="151">
        <f>G41</f>
        <v>3.0823348091924938</v>
      </c>
      <c r="K41" s="140"/>
      <c r="L41" s="140"/>
      <c r="M41" s="337"/>
      <c r="N41" s="338"/>
      <c r="O41" s="339"/>
      <c r="P41" s="167"/>
      <c r="Q41" s="168"/>
      <c r="R41" s="86"/>
      <c r="S41" s="168"/>
      <c r="T41" s="169"/>
      <c r="U41" s="83"/>
      <c r="V41" s="154"/>
      <c r="W41" s="84"/>
      <c r="X41" s="85"/>
    </row>
    <row r="42" spans="2:24" ht="24.75" customHeight="1" x14ac:dyDescent="0.25">
      <c r="B42" s="284" t="s">
        <v>105</v>
      </c>
      <c r="C42" s="284"/>
      <c r="D42" s="284"/>
      <c r="E42" s="78"/>
      <c r="F42" s="143"/>
      <c r="G42" s="151">
        <f>R49</f>
        <v>73.09756999999999</v>
      </c>
      <c r="H42" s="140"/>
      <c r="I42" s="140"/>
      <c r="J42" s="151">
        <f>G42</f>
        <v>73.09756999999999</v>
      </c>
      <c r="K42" s="140"/>
      <c r="L42" s="140"/>
      <c r="M42" s="333" t="s">
        <v>120</v>
      </c>
      <c r="N42" s="333" t="s">
        <v>121</v>
      </c>
      <c r="O42" s="333" t="s">
        <v>122</v>
      </c>
      <c r="P42" s="335" t="s">
        <v>128</v>
      </c>
      <c r="Q42" s="335" t="s">
        <v>124</v>
      </c>
      <c r="R42" s="306" t="s">
        <v>125</v>
      </c>
      <c r="S42" s="306" t="s">
        <v>126</v>
      </c>
      <c r="T42" s="306" t="s">
        <v>127</v>
      </c>
      <c r="U42" s="170"/>
      <c r="V42" s="170"/>
      <c r="W42" s="170"/>
      <c r="X42" s="170"/>
    </row>
    <row r="43" spans="2:24" ht="22.5" customHeight="1" x14ac:dyDescent="0.25">
      <c r="B43" s="284" t="s">
        <v>106</v>
      </c>
      <c r="C43" s="284"/>
      <c r="D43" s="284"/>
      <c r="E43" s="78"/>
      <c r="F43" s="143"/>
      <c r="G43" s="151">
        <f>T57</f>
        <v>55.608163567362418</v>
      </c>
      <c r="H43" s="140"/>
      <c r="I43" s="140"/>
      <c r="J43" s="151">
        <f>T58</f>
        <v>55.608163567362418</v>
      </c>
      <c r="K43" s="140"/>
      <c r="L43" s="140"/>
      <c r="M43" s="334"/>
      <c r="N43" s="334"/>
      <c r="O43" s="334"/>
      <c r="P43" s="336"/>
      <c r="Q43" s="336"/>
      <c r="R43" s="306"/>
      <c r="S43" s="306"/>
      <c r="T43" s="306"/>
      <c r="U43" s="140"/>
      <c r="V43" s="140"/>
      <c r="W43" s="140"/>
      <c r="X43" s="140"/>
    </row>
    <row r="44" spans="2:24" ht="21" customHeight="1" x14ac:dyDescent="0.25">
      <c r="B44" s="350" t="s">
        <v>113</v>
      </c>
      <c r="C44" s="350"/>
      <c r="D44" s="350"/>
      <c r="E44" s="350"/>
      <c r="F44" s="350"/>
      <c r="G44" s="151">
        <f>G43*E35</f>
        <v>20.463804192789372</v>
      </c>
      <c r="H44" s="140"/>
      <c r="I44" s="140"/>
      <c r="J44" s="151">
        <f>G44</f>
        <v>20.463804192789372</v>
      </c>
      <c r="K44" s="140"/>
      <c r="L44" s="140"/>
      <c r="M44" s="168">
        <v>30</v>
      </c>
      <c r="N44" s="86">
        <v>9</v>
      </c>
      <c r="O44" s="168">
        <f>M44+N44</f>
        <v>39</v>
      </c>
      <c r="P44" s="169">
        <f>(Q39/M44)*O44</f>
        <v>3654.8784999999993</v>
      </c>
      <c r="Q44" s="86">
        <v>47.43</v>
      </c>
      <c r="R44" s="171">
        <f>P44/Q44</f>
        <v>77.05837022981234</v>
      </c>
      <c r="S44" s="87">
        <v>0.5</v>
      </c>
      <c r="T44" s="88">
        <f>R44*S44</f>
        <v>38.52918511490617</v>
      </c>
      <c r="U44" s="140"/>
      <c r="V44" s="140"/>
      <c r="W44" s="140"/>
      <c r="X44" s="140"/>
    </row>
    <row r="45" spans="2:24" ht="15.75" customHeight="1" x14ac:dyDescent="0.25">
      <c r="B45" s="284" t="s">
        <v>107</v>
      </c>
      <c r="C45" s="284"/>
      <c r="D45" s="284"/>
      <c r="E45" s="78"/>
      <c r="F45" s="143"/>
      <c r="G45" s="151">
        <f>R61</f>
        <v>105.49980791999998</v>
      </c>
      <c r="H45" s="140"/>
      <c r="I45" s="140"/>
      <c r="J45" s="151">
        <f>G45</f>
        <v>105.49980791999998</v>
      </c>
      <c r="K45" s="140"/>
      <c r="L45" s="140"/>
      <c r="M45" s="168"/>
      <c r="N45" s="168"/>
      <c r="O45" s="168"/>
      <c r="P45" s="168"/>
      <c r="Q45" s="332" t="s">
        <v>119</v>
      </c>
      <c r="R45" s="332"/>
      <c r="S45" s="332"/>
      <c r="T45" s="168"/>
      <c r="U45" s="140"/>
      <c r="V45" s="140"/>
      <c r="W45" s="140"/>
      <c r="X45" s="140"/>
    </row>
    <row r="46" spans="2:24" x14ac:dyDescent="0.25">
      <c r="B46" s="283" t="s">
        <v>109</v>
      </c>
      <c r="C46" s="283"/>
      <c r="D46" s="283"/>
      <c r="E46" s="283"/>
      <c r="F46" s="283"/>
      <c r="G46" s="79">
        <f>SUM(G40:G45)</f>
        <v>296.28086560425044</v>
      </c>
      <c r="H46" s="140"/>
      <c r="I46" s="140"/>
      <c r="J46" s="79">
        <f>SUM(J40:J45)</f>
        <v>296.28086560425044</v>
      </c>
      <c r="K46" s="140"/>
      <c r="L46" s="140"/>
      <c r="M46" s="168"/>
      <c r="N46" s="168"/>
      <c r="O46" s="168"/>
      <c r="P46" s="168"/>
      <c r="Q46" s="332"/>
      <c r="R46" s="332"/>
      <c r="S46" s="332"/>
      <c r="T46" s="168"/>
      <c r="U46" s="140"/>
      <c r="V46" s="140"/>
      <c r="W46" s="140"/>
      <c r="X46" s="140"/>
    </row>
    <row r="47" spans="2:24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</row>
    <row r="48" spans="2:24" x14ac:dyDescent="0.25">
      <c r="B48" s="331" t="s">
        <v>111</v>
      </c>
      <c r="C48" s="331"/>
      <c r="D48" s="331"/>
      <c r="E48" s="331"/>
      <c r="F48" s="331"/>
      <c r="G48" s="172"/>
      <c r="H48" s="140"/>
      <c r="I48" s="140"/>
      <c r="J48" s="172"/>
      <c r="K48" s="140"/>
      <c r="L48" s="140"/>
      <c r="M48" s="173" t="s">
        <v>130</v>
      </c>
      <c r="N48" s="173" t="s">
        <v>131</v>
      </c>
      <c r="O48" s="173" t="s">
        <v>96</v>
      </c>
      <c r="P48" s="173" t="s">
        <v>132</v>
      </c>
      <c r="Q48" s="173" t="s">
        <v>126</v>
      </c>
      <c r="R48" s="173" t="s">
        <v>133</v>
      </c>
      <c r="S48" s="174"/>
      <c r="T48" s="175"/>
      <c r="U48" s="175"/>
      <c r="V48" s="170"/>
      <c r="W48" s="170"/>
      <c r="X48" s="170"/>
    </row>
    <row r="49" spans="2:24" ht="49.5" customHeight="1" x14ac:dyDescent="0.25">
      <c r="B49" s="288" t="s">
        <v>141</v>
      </c>
      <c r="C49" s="289"/>
      <c r="D49" s="289"/>
      <c r="E49" s="289"/>
      <c r="F49" s="290"/>
      <c r="G49" s="94" t="s">
        <v>142</v>
      </c>
      <c r="H49" s="83"/>
      <c r="I49" s="83"/>
      <c r="J49" s="94" t="s">
        <v>142</v>
      </c>
      <c r="K49" s="83"/>
      <c r="L49" s="140"/>
      <c r="M49" s="176">
        <f>P44</f>
        <v>3654.8784999999993</v>
      </c>
      <c r="N49" s="177">
        <v>0.5</v>
      </c>
      <c r="O49" s="177">
        <v>0.08</v>
      </c>
      <c r="P49" s="178">
        <f>M49*N49*O49</f>
        <v>146.19513999999998</v>
      </c>
      <c r="Q49" s="87">
        <v>0.5</v>
      </c>
      <c r="R49" s="179">
        <f>P49*Q49</f>
        <v>73.09756999999999</v>
      </c>
      <c r="S49" s="174"/>
      <c r="T49" s="175"/>
      <c r="U49" s="175"/>
      <c r="V49" s="170"/>
      <c r="W49" s="170"/>
      <c r="X49" s="170"/>
    </row>
    <row r="50" spans="2:24" x14ac:dyDescent="0.25">
      <c r="B50" s="344" t="s">
        <v>110</v>
      </c>
      <c r="C50" s="345"/>
      <c r="D50" s="345"/>
      <c r="E50" s="345"/>
      <c r="F50" s="346"/>
      <c r="G50" s="291">
        <f>G10*2.53%</f>
        <v>8.5276180000000004</v>
      </c>
      <c r="H50" s="140"/>
      <c r="I50" s="140"/>
      <c r="J50" s="291">
        <f>J10*2.53%</f>
        <v>8.5276180000000004</v>
      </c>
      <c r="K50" s="140"/>
      <c r="L50" s="140"/>
      <c r="M50" s="293" t="s">
        <v>134</v>
      </c>
      <c r="N50" s="293"/>
      <c r="O50" s="293"/>
      <c r="P50" s="293"/>
      <c r="Q50" s="293"/>
      <c r="R50" s="293"/>
      <c r="S50" s="293"/>
      <c r="T50" s="180"/>
      <c r="U50" s="180"/>
      <c r="V50" s="180"/>
      <c r="W50" s="180"/>
      <c r="X50" s="180"/>
    </row>
    <row r="51" spans="2:24" ht="28.5" customHeight="1" x14ac:dyDescent="0.25">
      <c r="B51" s="347"/>
      <c r="C51" s="348"/>
      <c r="D51" s="348"/>
      <c r="E51" s="348"/>
      <c r="F51" s="349"/>
      <c r="G51" s="292"/>
      <c r="H51" s="140"/>
      <c r="I51" s="140"/>
      <c r="J51" s="292"/>
      <c r="K51" s="140"/>
      <c r="L51" s="140"/>
      <c r="M51" s="293"/>
      <c r="N51" s="293"/>
      <c r="O51" s="293"/>
      <c r="P51" s="293"/>
      <c r="Q51" s="293"/>
      <c r="R51" s="293"/>
      <c r="S51" s="293"/>
      <c r="T51" s="180"/>
      <c r="U51" s="180"/>
      <c r="V51" s="180"/>
      <c r="W51" s="180"/>
      <c r="X51" s="180"/>
    </row>
    <row r="52" spans="2:24" ht="28.5" customHeight="1" x14ac:dyDescent="0.25">
      <c r="B52" s="181"/>
      <c r="C52" s="181"/>
      <c r="D52" s="181"/>
      <c r="E52" s="181"/>
      <c r="F52" s="181"/>
      <c r="G52" s="93">
        <f>SUM(G49:G51)</f>
        <v>8.5276180000000004</v>
      </c>
      <c r="H52" s="140"/>
      <c r="I52" s="140"/>
      <c r="J52" s="93">
        <f>SUM(J49:J51)</f>
        <v>8.5276180000000004</v>
      </c>
      <c r="K52" s="140"/>
      <c r="L52" s="140"/>
      <c r="M52" s="297" t="s">
        <v>175</v>
      </c>
      <c r="N52" s="297"/>
      <c r="O52" s="297"/>
      <c r="P52" s="297"/>
      <c r="Q52" s="297"/>
      <c r="R52" s="297"/>
      <c r="S52" s="297"/>
      <c r="T52" s="297"/>
      <c r="U52" s="180"/>
      <c r="V52" s="180"/>
      <c r="W52" s="180"/>
      <c r="X52" s="180"/>
    </row>
    <row r="53" spans="2:24" x14ac:dyDescent="0.25">
      <c r="B53" s="298" t="s">
        <v>114</v>
      </c>
      <c r="C53" s="298"/>
      <c r="D53" s="298"/>
      <c r="E53" s="298"/>
      <c r="F53" s="170"/>
      <c r="G53" s="182">
        <f>G52*E35</f>
        <v>3.1381634240000005</v>
      </c>
      <c r="H53" s="140"/>
      <c r="I53" s="140"/>
      <c r="J53" s="182">
        <f>J52*I35</f>
        <v>2.6435615800000001</v>
      </c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</row>
    <row r="54" spans="2:24" x14ac:dyDescent="0.25">
      <c r="B54" s="299" t="s">
        <v>112</v>
      </c>
      <c r="C54" s="299"/>
      <c r="D54" s="299"/>
      <c r="E54" s="299"/>
      <c r="F54" s="299"/>
      <c r="G54" s="65">
        <f>SUM(G50:G53)</f>
        <v>20.193399424000003</v>
      </c>
      <c r="H54" s="140"/>
      <c r="I54" s="140"/>
      <c r="J54" s="65">
        <f>SUM(J50:J53)</f>
        <v>19.698797580000001</v>
      </c>
      <c r="K54" s="140"/>
      <c r="L54" s="140"/>
      <c r="M54" s="294" t="s">
        <v>135</v>
      </c>
      <c r="N54" s="295"/>
      <c r="O54" s="295"/>
      <c r="P54" s="296"/>
      <c r="Q54" s="183" t="s">
        <v>130</v>
      </c>
      <c r="R54" s="184">
        <f>G6+G15+G22+O25+G30+G31+G32+G33+G36+G34</f>
        <v>4057.6849199999997</v>
      </c>
      <c r="S54" s="140"/>
      <c r="T54" s="140"/>
      <c r="U54" s="140"/>
      <c r="V54" s="140"/>
      <c r="W54" s="140"/>
      <c r="X54" s="140"/>
    </row>
    <row r="55" spans="2:24" x14ac:dyDescent="0.25"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5" t="s">
        <v>137</v>
      </c>
      <c r="N55" s="140"/>
      <c r="O55" s="140"/>
      <c r="P55" s="140"/>
      <c r="Q55" s="140"/>
      <c r="R55" s="185"/>
      <c r="S55" s="140"/>
      <c r="T55" s="140"/>
      <c r="U55" s="140"/>
      <c r="V55" s="140"/>
      <c r="W55" s="140"/>
      <c r="X55" s="140"/>
    </row>
    <row r="56" spans="2:24" ht="75" x14ac:dyDescent="0.25">
      <c r="B56" s="300" t="s">
        <v>115</v>
      </c>
      <c r="C56" s="301"/>
      <c r="D56" s="301"/>
      <c r="E56" s="301"/>
      <c r="F56" s="302"/>
      <c r="G56" s="141" t="s">
        <v>78</v>
      </c>
      <c r="H56" s="140"/>
      <c r="I56" s="140"/>
      <c r="J56" s="141" t="s">
        <v>78</v>
      </c>
      <c r="K56" s="140"/>
      <c r="L56" s="140"/>
      <c r="M56" s="186" t="s">
        <v>120</v>
      </c>
      <c r="N56" s="186" t="s">
        <v>121</v>
      </c>
      <c r="O56" s="186" t="s">
        <v>122</v>
      </c>
      <c r="P56" s="187" t="s">
        <v>123</v>
      </c>
      <c r="Q56" s="187" t="s">
        <v>124</v>
      </c>
      <c r="R56" s="187" t="s">
        <v>125</v>
      </c>
      <c r="S56" s="187" t="s">
        <v>126</v>
      </c>
      <c r="T56" s="188" t="s">
        <v>138</v>
      </c>
      <c r="U56" s="189"/>
      <c r="V56" s="140"/>
      <c r="W56" s="140"/>
      <c r="X56" s="140"/>
    </row>
    <row r="57" spans="2:24" x14ac:dyDescent="0.25">
      <c r="B57" s="284" t="s">
        <v>77</v>
      </c>
      <c r="C57" s="284"/>
      <c r="D57" s="284"/>
      <c r="E57" s="284"/>
      <c r="F57" s="80"/>
      <c r="G57" s="81">
        <f>G6</f>
        <v>2595.1799999999998</v>
      </c>
      <c r="H57" s="140"/>
      <c r="I57" s="140"/>
      <c r="J57" s="81">
        <f>J6</f>
        <v>2595.1799999999998</v>
      </c>
      <c r="K57" s="140"/>
      <c r="L57" s="140"/>
      <c r="M57" s="190">
        <v>30</v>
      </c>
      <c r="N57" s="89">
        <v>9</v>
      </c>
      <c r="O57" s="190">
        <f>SUM(M57:N57)</f>
        <v>39</v>
      </c>
      <c r="P57" s="190">
        <f>(R54/M57)*O57</f>
        <v>5274.9903959999992</v>
      </c>
      <c r="Q57" s="90">
        <f>Q44</f>
        <v>47.43</v>
      </c>
      <c r="R57" s="191">
        <f>P57/Q57</f>
        <v>111.21632713472484</v>
      </c>
      <c r="S57" s="91">
        <v>0.5</v>
      </c>
      <c r="T57" s="192">
        <f>R57*S57</f>
        <v>55.608163567362418</v>
      </c>
      <c r="U57" s="170"/>
      <c r="V57" s="140"/>
      <c r="W57" s="140"/>
      <c r="X57" s="140"/>
    </row>
    <row r="58" spans="2:24" x14ac:dyDescent="0.25">
      <c r="B58" s="310" t="s">
        <v>80</v>
      </c>
      <c r="C58" s="310"/>
      <c r="D58" s="310"/>
      <c r="E58" s="310"/>
      <c r="F58" s="143"/>
      <c r="G58" s="144">
        <f>G15</f>
        <v>440.00400000000002</v>
      </c>
      <c r="H58" s="140"/>
      <c r="I58" s="140"/>
      <c r="J58" s="144">
        <f>J15</f>
        <v>440.00400000000002</v>
      </c>
      <c r="K58" s="140"/>
      <c r="L58" s="140"/>
      <c r="M58" s="140" t="s">
        <v>170</v>
      </c>
      <c r="N58" s="140"/>
      <c r="O58" s="140"/>
      <c r="P58" s="193">
        <f>((R54-(G32+G33))/30)*O57</f>
        <v>5274.9903959999992</v>
      </c>
      <c r="Q58" s="154"/>
      <c r="R58" s="194">
        <f>P58/Q57</f>
        <v>111.21632713472484</v>
      </c>
      <c r="S58" s="140"/>
      <c r="T58" s="154">
        <f>R58*S57</f>
        <v>55.608163567362418</v>
      </c>
      <c r="U58" s="140"/>
      <c r="V58" s="140"/>
      <c r="W58" s="140"/>
      <c r="X58" s="140"/>
    </row>
    <row r="59" spans="2:24" x14ac:dyDescent="0.25">
      <c r="B59" s="310" t="s">
        <v>87</v>
      </c>
      <c r="C59" s="310"/>
      <c r="D59" s="310"/>
      <c r="E59" s="310"/>
      <c r="F59" s="195"/>
      <c r="G59" s="196">
        <v>0</v>
      </c>
      <c r="H59" s="140"/>
      <c r="I59" s="140"/>
      <c r="J59" s="196">
        <v>0</v>
      </c>
      <c r="K59" s="140"/>
      <c r="L59" s="140"/>
      <c r="M59" s="285" t="s">
        <v>107</v>
      </c>
      <c r="N59" s="286"/>
      <c r="O59" s="287"/>
      <c r="P59" s="154"/>
      <c r="Q59" s="154"/>
      <c r="R59" s="197"/>
      <c r="S59" s="140"/>
      <c r="T59" s="140"/>
      <c r="U59" s="140"/>
      <c r="V59" s="140"/>
      <c r="W59" s="140"/>
      <c r="X59" s="140"/>
    </row>
    <row r="60" spans="2:24" ht="45" x14ac:dyDescent="0.25">
      <c r="B60" s="310" t="s">
        <v>90</v>
      </c>
      <c r="C60" s="310"/>
      <c r="D60" s="310"/>
      <c r="E60" s="310"/>
      <c r="F60" s="195"/>
      <c r="G60" s="151">
        <f>G23</f>
        <v>216.26499999999999</v>
      </c>
      <c r="H60" s="140"/>
      <c r="I60" s="140"/>
      <c r="J60" s="151">
        <f>J23</f>
        <v>216.26499999999999</v>
      </c>
      <c r="K60" s="140"/>
      <c r="L60" s="140"/>
      <c r="M60" s="198" t="s">
        <v>139</v>
      </c>
      <c r="N60" s="198" t="s">
        <v>131</v>
      </c>
      <c r="O60" s="198" t="s">
        <v>140</v>
      </c>
      <c r="P60" s="173" t="s">
        <v>132</v>
      </c>
      <c r="Q60" s="199" t="s">
        <v>126</v>
      </c>
      <c r="R60" s="199" t="s">
        <v>133</v>
      </c>
      <c r="S60" s="140"/>
      <c r="T60" s="140"/>
      <c r="U60" s="140"/>
      <c r="V60" s="140"/>
      <c r="W60" s="140"/>
      <c r="X60" s="140"/>
    </row>
    <row r="61" spans="2:24" x14ac:dyDescent="0.25">
      <c r="B61" s="313" t="s">
        <v>98</v>
      </c>
      <c r="C61" s="314"/>
      <c r="D61" s="314"/>
      <c r="E61" s="315"/>
      <c r="F61" s="195"/>
      <c r="G61" s="151">
        <f>G27</f>
        <v>0</v>
      </c>
      <c r="H61" s="140"/>
      <c r="I61" s="140"/>
      <c r="J61" s="151">
        <f>J27</f>
        <v>0</v>
      </c>
      <c r="K61" s="140"/>
      <c r="L61" s="140"/>
      <c r="M61" s="200">
        <f>P57</f>
        <v>5274.9903959999992</v>
      </c>
      <c r="N61" s="201">
        <v>0.5</v>
      </c>
      <c r="O61" s="201">
        <v>0.08</v>
      </c>
      <c r="P61" s="202">
        <f>M61*N61*O61</f>
        <v>210.99961583999996</v>
      </c>
      <c r="Q61" s="92">
        <v>0.5</v>
      </c>
      <c r="R61" s="179">
        <f>P61*Q61</f>
        <v>105.49980791999998</v>
      </c>
      <c r="S61" s="140"/>
      <c r="T61" s="140"/>
      <c r="U61" s="140"/>
      <c r="V61" s="140"/>
      <c r="W61" s="140"/>
      <c r="X61" s="140"/>
    </row>
    <row r="62" spans="2:24" x14ac:dyDescent="0.25">
      <c r="B62" s="310" t="s">
        <v>99</v>
      </c>
      <c r="C62" s="310"/>
      <c r="D62" s="310"/>
      <c r="E62" s="310"/>
      <c r="F62" s="143"/>
      <c r="G62" s="151">
        <f>G37</f>
        <v>1013.8503199999999</v>
      </c>
      <c r="H62" s="140"/>
      <c r="I62" s="140"/>
      <c r="J62" s="151">
        <f>J37</f>
        <v>1001.3069499999999</v>
      </c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</row>
    <row r="63" spans="2:24" x14ac:dyDescent="0.25">
      <c r="B63" s="310" t="s">
        <v>108</v>
      </c>
      <c r="C63" s="310"/>
      <c r="D63" s="310"/>
      <c r="E63" s="310"/>
      <c r="F63" s="195"/>
      <c r="G63" s="196">
        <f>G46</f>
        <v>296.28086560425044</v>
      </c>
      <c r="H63" s="140"/>
      <c r="I63" s="140"/>
      <c r="J63" s="196">
        <f>J46</f>
        <v>296.28086560425044</v>
      </c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</row>
    <row r="64" spans="2:24" x14ac:dyDescent="0.25">
      <c r="B64" s="310" t="s">
        <v>117</v>
      </c>
      <c r="C64" s="310"/>
      <c r="D64" s="310"/>
      <c r="E64" s="310"/>
      <c r="F64" s="143"/>
      <c r="G64" s="144">
        <f>G54</f>
        <v>20.193399424000003</v>
      </c>
      <c r="H64" s="140"/>
      <c r="I64" s="140"/>
      <c r="J64" s="144">
        <f>J54</f>
        <v>19.698797580000001</v>
      </c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</row>
    <row r="65" spans="2:24" x14ac:dyDescent="0.25">
      <c r="B65" s="341" t="s">
        <v>116</v>
      </c>
      <c r="C65" s="342"/>
      <c r="D65" s="342"/>
      <c r="E65" s="342"/>
      <c r="F65" s="343"/>
      <c r="G65" s="67">
        <f>SUM(G57:G64)</f>
        <v>4581.7735850282497</v>
      </c>
      <c r="H65" s="140"/>
      <c r="I65" s="140"/>
      <c r="J65" s="67">
        <f>SUM(J57:J64)</f>
        <v>4568.7356131842507</v>
      </c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</row>
    <row r="66" spans="2:24" x14ac:dyDescent="0.25"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</row>
    <row r="67" spans="2:24" x14ac:dyDescent="0.25">
      <c r="B67" s="140" t="s">
        <v>143</v>
      </c>
      <c r="C67" s="140"/>
      <c r="D67" s="140"/>
      <c r="E67" s="140"/>
      <c r="F67" s="140" t="s">
        <v>13</v>
      </c>
      <c r="G67" s="65">
        <f>G65*Dados!E55</f>
        <v>1088.1712264442092</v>
      </c>
      <c r="H67" s="140"/>
      <c r="I67" s="140"/>
      <c r="J67" s="65">
        <f>J65*Dados!E55</f>
        <v>1085.0747081312593</v>
      </c>
      <c r="K67" s="140"/>
      <c r="L67" s="140"/>
      <c r="M67" s="145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</row>
    <row r="68" spans="2:24" x14ac:dyDescent="0.25">
      <c r="B68" s="140"/>
      <c r="C68" s="140"/>
      <c r="D68" s="140"/>
      <c r="E68" s="140" t="s">
        <v>144</v>
      </c>
      <c r="F68" s="140" t="s">
        <v>14</v>
      </c>
      <c r="G68" s="65">
        <f>(G65*Dados!E57)</f>
        <v>1813.6187107403484</v>
      </c>
      <c r="H68" s="140"/>
      <c r="I68" s="140"/>
      <c r="J68" s="65">
        <f>J65*Dados!E57</f>
        <v>1808.4578468854322</v>
      </c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zoomScaleNormal="100" workbookViewId="0">
      <selection activeCell="E13" sqref="E13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67" t="str">
        <f>Dados!B2</f>
        <v>MUNICÍPIO DE BARÃO DO TRIUNFO</v>
      </c>
      <c r="C2" s="367"/>
      <c r="D2" s="367"/>
      <c r="E2" s="367"/>
      <c r="F2" s="367"/>
      <c r="G2" s="367"/>
    </row>
    <row r="3" spans="2:13" x14ac:dyDescent="0.25">
      <c r="B3" s="371" t="s">
        <v>172</v>
      </c>
      <c r="C3" s="371"/>
      <c r="D3" s="371"/>
      <c r="E3" s="371"/>
      <c r="F3" s="371"/>
      <c r="G3" s="371"/>
    </row>
    <row r="4" spans="2:13" x14ac:dyDescent="0.25">
      <c r="B4" s="367" t="str">
        <f>Dados!C4</f>
        <v>Transporte escolar</v>
      </c>
      <c r="C4" s="367"/>
      <c r="D4" s="367"/>
      <c r="E4" s="367"/>
      <c r="F4" s="367"/>
      <c r="G4" s="367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7" t="str">
        <f>Dados!B17</f>
        <v>Itinerário:</v>
      </c>
      <c r="C6" s="77"/>
    </row>
    <row r="7" spans="2:13" ht="15.75" customHeight="1" x14ac:dyDescent="0.25">
      <c r="B7" s="370" t="str">
        <f>Dados!B18</f>
        <v>ITEM 08- LINHA 08- ÁGUA FRIA</v>
      </c>
      <c r="C7" s="370"/>
      <c r="D7" s="370"/>
      <c r="E7" s="370"/>
      <c r="F7" s="370"/>
      <c r="G7" s="370"/>
      <c r="H7" s="60"/>
      <c r="I7" s="60"/>
      <c r="J7" s="60"/>
      <c r="K7" s="60"/>
      <c r="L7" s="60"/>
    </row>
    <row r="8" spans="2:13" ht="30.75" customHeight="1" x14ac:dyDescent="0.25">
      <c r="B8" s="370"/>
      <c r="C8" s="370"/>
      <c r="D8" s="370"/>
      <c r="E8" s="370"/>
      <c r="F8" s="370"/>
      <c r="G8" s="370"/>
    </row>
    <row r="9" spans="2:13" ht="15.75" customHeight="1" x14ac:dyDescent="0.25">
      <c r="B9" s="368" t="s">
        <v>167</v>
      </c>
      <c r="C9" s="369"/>
      <c r="D9" s="369"/>
      <c r="E9" s="369"/>
      <c r="F9" s="103"/>
      <c r="G9" s="29"/>
      <c r="H9" s="211" t="s">
        <v>171</v>
      </c>
      <c r="I9" s="104"/>
      <c r="J9" s="120"/>
      <c r="K9" s="211" t="s">
        <v>170</v>
      </c>
    </row>
    <row r="10" spans="2:13" x14ac:dyDescent="0.25">
      <c r="B10" s="29"/>
      <c r="C10" s="29"/>
      <c r="D10" s="29"/>
      <c r="E10" s="104"/>
      <c r="F10" s="104"/>
      <c r="G10" s="29"/>
      <c r="H10" s="104"/>
      <c r="I10" s="104"/>
      <c r="K10" s="104"/>
    </row>
    <row r="11" spans="2:13" x14ac:dyDescent="0.25">
      <c r="B11" s="353" t="s">
        <v>145</v>
      </c>
      <c r="C11" s="353"/>
      <c r="D11" s="353"/>
      <c r="E11" s="3" t="s">
        <v>78</v>
      </c>
      <c r="F11" s="3"/>
      <c r="H11" s="3" t="s">
        <v>78</v>
      </c>
      <c r="I11" s="3"/>
      <c r="K11" s="3" t="s">
        <v>78</v>
      </c>
    </row>
    <row r="12" spans="2:13" x14ac:dyDescent="0.25">
      <c r="B12" s="351" t="s">
        <v>146</v>
      </c>
      <c r="C12" s="351"/>
      <c r="D12" s="351"/>
      <c r="E12" s="107">
        <f>(Dados!E75*Dados!E55)</f>
        <v>1341.8749999999998</v>
      </c>
      <c r="F12" s="113"/>
      <c r="G12" s="111"/>
      <c r="H12" s="107">
        <f t="shared" ref="H12:H17" si="0">E12</f>
        <v>1341.8749999999998</v>
      </c>
      <c r="I12" s="113"/>
      <c r="K12" s="108">
        <f t="shared" ref="K12:K17" si="1">E12</f>
        <v>1341.8749999999998</v>
      </c>
      <c r="M12" s="61"/>
    </row>
    <row r="13" spans="2:13" x14ac:dyDescent="0.25">
      <c r="B13" s="351" t="s">
        <v>147</v>
      </c>
      <c r="C13" s="351"/>
      <c r="D13" s="351"/>
      <c r="E13" s="107">
        <f>Dados!E76*Dados!E55</f>
        <v>883.40104166666652</v>
      </c>
      <c r="F13" s="113"/>
      <c r="G13" s="111"/>
      <c r="H13" s="107">
        <f t="shared" si="0"/>
        <v>883.40104166666652</v>
      </c>
      <c r="I13" s="113"/>
      <c r="K13" s="108">
        <f t="shared" si="1"/>
        <v>883.40104166666652</v>
      </c>
      <c r="M13" s="61"/>
    </row>
    <row r="14" spans="2:13" x14ac:dyDescent="0.25">
      <c r="B14" s="351" t="s">
        <v>148</v>
      </c>
      <c r="C14" s="351"/>
      <c r="D14" s="351"/>
      <c r="E14" s="107">
        <f>(((Dados!E23*1)/Dados!E65)*Dados!E74)*Dados!E11</f>
        <v>3662.9466666666667</v>
      </c>
      <c r="F14" s="113"/>
      <c r="G14" s="111"/>
      <c r="H14" s="107">
        <f t="shared" si="0"/>
        <v>3662.9466666666667</v>
      </c>
      <c r="I14" s="113"/>
      <c r="K14" s="108">
        <f t="shared" si="1"/>
        <v>3662.9466666666667</v>
      </c>
    </row>
    <row r="15" spans="2:13" x14ac:dyDescent="0.25">
      <c r="B15" s="351" t="s">
        <v>49</v>
      </c>
      <c r="C15" s="351"/>
      <c r="D15" s="351"/>
      <c r="E15" s="107">
        <f>E14*Dados!E83</f>
        <v>366.29466666666667</v>
      </c>
      <c r="F15" s="113"/>
      <c r="G15" s="111"/>
      <c r="H15" s="107">
        <f t="shared" si="0"/>
        <v>366.29466666666667</v>
      </c>
      <c r="I15" s="113"/>
      <c r="K15" s="108">
        <f t="shared" si="1"/>
        <v>366.29466666666667</v>
      </c>
    </row>
    <row r="16" spans="2:13" x14ac:dyDescent="0.25">
      <c r="B16" s="351" t="s">
        <v>149</v>
      </c>
      <c r="C16" s="351"/>
      <c r="D16" s="351"/>
      <c r="E16" s="107">
        <f>E14*Dados!E83</f>
        <v>366.29466666666667</v>
      </c>
      <c r="F16" s="113"/>
      <c r="G16" s="111"/>
      <c r="H16" s="107">
        <f t="shared" si="0"/>
        <v>366.29466666666667</v>
      </c>
      <c r="I16" s="113"/>
      <c r="K16" s="108">
        <f t="shared" si="1"/>
        <v>366.29466666666667</v>
      </c>
    </row>
    <row r="17" spans="2:11" x14ac:dyDescent="0.25">
      <c r="B17" s="351" t="s">
        <v>53</v>
      </c>
      <c r="C17" s="351"/>
      <c r="D17" s="351"/>
      <c r="E17" s="107">
        <f>(((Dados!E91*Dados!C91)/Dados!D91)*Dados!E24)</f>
        <v>386.38552000000004</v>
      </c>
      <c r="F17" s="113"/>
      <c r="G17" s="111"/>
      <c r="H17" s="107">
        <f t="shared" si="0"/>
        <v>386.38552000000004</v>
      </c>
      <c r="I17" s="113"/>
      <c r="K17" s="108">
        <f t="shared" si="1"/>
        <v>386.38552000000004</v>
      </c>
    </row>
    <row r="18" spans="2:11" x14ac:dyDescent="0.25">
      <c r="B18" s="358" t="s">
        <v>97</v>
      </c>
      <c r="C18" s="358"/>
      <c r="D18" s="358"/>
      <c r="E18" s="106">
        <f>SUM(E12:E17)</f>
        <v>7007.1975616666659</v>
      </c>
      <c r="F18" s="115"/>
      <c r="G18" s="111"/>
      <c r="H18" s="106">
        <f>SUM(H12:H17)</f>
        <v>7007.1975616666659</v>
      </c>
      <c r="I18" s="115"/>
      <c r="K18" s="109">
        <f>SUM(K12:K17)</f>
        <v>7007.1975616666659</v>
      </c>
    </row>
    <row r="19" spans="2:11" x14ac:dyDescent="0.25">
      <c r="B19" s="364" t="s">
        <v>150</v>
      </c>
      <c r="C19" s="364"/>
      <c r="D19" s="364"/>
      <c r="E19" s="112" t="s">
        <v>78</v>
      </c>
      <c r="F19" s="112"/>
      <c r="G19" s="111"/>
      <c r="H19" s="112" t="s">
        <v>78</v>
      </c>
      <c r="I19" s="112"/>
      <c r="K19" s="112" t="s">
        <v>78</v>
      </c>
    </row>
    <row r="20" spans="2:11" x14ac:dyDescent="0.25">
      <c r="B20" s="365" t="s">
        <v>151</v>
      </c>
      <c r="C20" s="365"/>
      <c r="D20" s="365"/>
      <c r="E20" s="107">
        <f>Motorista!G67</f>
        <v>1088.1712264442092</v>
      </c>
      <c r="F20" s="113"/>
      <c r="G20" s="111"/>
      <c r="H20" s="50">
        <f>E20</f>
        <v>1088.1712264442092</v>
      </c>
      <c r="I20" s="121"/>
      <c r="K20" s="50">
        <f>Motorista!J67</f>
        <v>1085.0747081312593</v>
      </c>
    </row>
    <row r="21" spans="2:11" x14ac:dyDescent="0.25">
      <c r="B21" s="357" t="s">
        <v>97</v>
      </c>
      <c r="C21" s="357"/>
      <c r="D21" s="357"/>
      <c r="E21" s="106">
        <f>SUM(E20:E20)</f>
        <v>1088.1712264442092</v>
      </c>
      <c r="F21" s="115"/>
      <c r="G21" s="111"/>
      <c r="H21" s="68">
        <f>SUM(H20:H20)</f>
        <v>1088.1712264442092</v>
      </c>
      <c r="I21" s="122"/>
      <c r="K21" s="68">
        <f>SUM(K20:K20)</f>
        <v>1085.0747081312593</v>
      </c>
    </row>
    <row r="22" spans="2:11" x14ac:dyDescent="0.25">
      <c r="B22" s="353" t="s">
        <v>72</v>
      </c>
      <c r="C22" s="353"/>
      <c r="D22" s="353"/>
      <c r="E22" s="112"/>
      <c r="F22" s="112"/>
      <c r="G22" s="111"/>
      <c r="H22" s="112"/>
      <c r="I22" s="112"/>
      <c r="K22" s="112"/>
    </row>
    <row r="23" spans="2:11" x14ac:dyDescent="0.25">
      <c r="B23" s="355" t="s">
        <v>176</v>
      </c>
      <c r="C23" s="355"/>
      <c r="D23" s="355"/>
      <c r="E23" s="112" t="s">
        <v>78</v>
      </c>
      <c r="F23" s="112"/>
      <c r="G23" s="111"/>
      <c r="H23" s="112" t="s">
        <v>78</v>
      </c>
      <c r="I23" s="112"/>
      <c r="K23" s="112" t="s">
        <v>78</v>
      </c>
    </row>
    <row r="24" spans="2:11" x14ac:dyDescent="0.25">
      <c r="B24" s="351" t="s">
        <v>38</v>
      </c>
      <c r="C24" s="351"/>
      <c r="D24" s="351"/>
      <c r="E24" s="107">
        <f>(Dados!E69/12)*Dados!E55</f>
        <v>1.583333333333333</v>
      </c>
      <c r="F24" s="113"/>
      <c r="G24" s="111"/>
      <c r="H24" s="108">
        <f t="shared" ref="H24:H29" si="2">E24</f>
        <v>1.583333333333333</v>
      </c>
      <c r="I24" s="121"/>
      <c r="K24" s="108">
        <f t="shared" ref="K24:K29" si="3">E24</f>
        <v>1.583333333333333</v>
      </c>
    </row>
    <row r="25" spans="2:11" x14ac:dyDescent="0.25">
      <c r="B25" s="351" t="s">
        <v>40</v>
      </c>
      <c r="C25" s="351"/>
      <c r="D25" s="351"/>
      <c r="E25" s="107">
        <f>(Dados!E71/12)*Dados!E55</f>
        <v>0.75010416666666646</v>
      </c>
      <c r="F25" s="113"/>
      <c r="G25" s="111"/>
      <c r="H25" s="108">
        <f t="shared" si="2"/>
        <v>0.75010416666666646</v>
      </c>
      <c r="I25" s="121"/>
      <c r="K25" s="108">
        <f t="shared" si="3"/>
        <v>0.75010416666666646</v>
      </c>
    </row>
    <row r="26" spans="2:11" x14ac:dyDescent="0.25">
      <c r="B26" s="351" t="s">
        <v>39</v>
      </c>
      <c r="C26" s="351"/>
      <c r="D26" s="351"/>
      <c r="E26" s="107"/>
      <c r="F26" s="113"/>
      <c r="G26" s="111"/>
      <c r="H26" s="108">
        <f t="shared" si="2"/>
        <v>0</v>
      </c>
      <c r="I26" s="121"/>
      <c r="K26" s="108">
        <f t="shared" si="3"/>
        <v>0</v>
      </c>
    </row>
    <row r="27" spans="2:11" x14ac:dyDescent="0.25">
      <c r="B27" s="351" t="s">
        <v>152</v>
      </c>
      <c r="C27" s="351"/>
      <c r="D27" s="351"/>
      <c r="E27" s="107">
        <f>(Dados!E72/12)*Dados!E55</f>
        <v>2.7937916666666665</v>
      </c>
      <c r="F27" s="113"/>
      <c r="G27" s="111"/>
      <c r="H27" s="108">
        <f t="shared" si="2"/>
        <v>2.7937916666666665</v>
      </c>
      <c r="I27" s="121"/>
      <c r="K27" s="108">
        <f t="shared" si="3"/>
        <v>2.7937916666666665</v>
      </c>
    </row>
    <row r="28" spans="2:11" x14ac:dyDescent="0.25">
      <c r="B28" s="351" t="s">
        <v>153</v>
      </c>
      <c r="C28" s="351"/>
      <c r="D28" s="351"/>
      <c r="E28" s="107">
        <f>(Dados!E73/12)*Dados!E55</f>
        <v>6.5312499999999991</v>
      </c>
      <c r="F28" s="113"/>
      <c r="G28" s="111"/>
      <c r="H28" s="108">
        <f t="shared" si="2"/>
        <v>6.5312499999999991</v>
      </c>
      <c r="I28" s="121"/>
      <c r="K28" s="108">
        <f t="shared" si="3"/>
        <v>6.5312499999999991</v>
      </c>
    </row>
    <row r="29" spans="2:11" x14ac:dyDescent="0.25">
      <c r="B29" s="351" t="s">
        <v>154</v>
      </c>
      <c r="C29" s="351"/>
      <c r="D29" s="351"/>
      <c r="E29" s="107">
        <v>0</v>
      </c>
      <c r="F29" s="113"/>
      <c r="G29" s="111"/>
      <c r="H29" s="108">
        <f t="shared" si="2"/>
        <v>0</v>
      </c>
      <c r="I29" s="121"/>
      <c r="K29" s="108">
        <f t="shared" si="3"/>
        <v>0</v>
      </c>
    </row>
    <row r="30" spans="2:11" x14ac:dyDescent="0.25">
      <c r="B30" s="354" t="s">
        <v>155</v>
      </c>
      <c r="C30" s="354"/>
      <c r="D30" s="354"/>
      <c r="E30" s="107"/>
      <c r="F30" s="113"/>
      <c r="G30" s="111"/>
      <c r="H30" s="108"/>
      <c r="I30" s="121"/>
      <c r="K30" s="108"/>
    </row>
    <row r="31" spans="2:11" x14ac:dyDescent="0.25">
      <c r="B31" s="351" t="s">
        <v>155</v>
      </c>
      <c r="C31" s="351"/>
      <c r="D31" s="351"/>
      <c r="E31" s="107">
        <f>((E18+E21)*Dados!E110)*Dados!E57</f>
        <v>160.22084059802773</v>
      </c>
      <c r="F31" s="113"/>
      <c r="G31" s="111"/>
      <c r="H31" s="108">
        <f>((E18+E21)*Dados!E110)*Dados!E57</f>
        <v>160.22084059802773</v>
      </c>
      <c r="I31" s="121"/>
      <c r="K31" s="108">
        <f>((K18+K21)*Dados!E110)*Dados!E55</f>
        <v>96.095733203850358</v>
      </c>
    </row>
    <row r="32" spans="2:11" x14ac:dyDescent="0.25">
      <c r="B32" s="357" t="s">
        <v>97</v>
      </c>
      <c r="C32" s="357"/>
      <c r="D32" s="357"/>
      <c r="E32" s="106">
        <f>SUM(E24:E31)</f>
        <v>171.8793197646944</v>
      </c>
      <c r="F32" s="115"/>
      <c r="G32" s="111"/>
      <c r="H32" s="109">
        <f>SUM(H24:H31)</f>
        <v>171.8793197646944</v>
      </c>
      <c r="I32" s="122"/>
      <c r="K32" s="109">
        <f>SUM(K24:K31)</f>
        <v>107.75421237051702</v>
      </c>
    </row>
    <row r="33" spans="2:13" x14ac:dyDescent="0.25">
      <c r="B33" s="77" t="s">
        <v>74</v>
      </c>
      <c r="E33" s="112" t="s">
        <v>78</v>
      </c>
      <c r="F33" s="112"/>
      <c r="G33" s="111"/>
      <c r="H33" s="112" t="s">
        <v>78</v>
      </c>
      <c r="K33" s="112" t="s">
        <v>78</v>
      </c>
    </row>
    <row r="34" spans="2:13" x14ac:dyDescent="0.25">
      <c r="B34" s="361"/>
      <c r="C34" s="362"/>
      <c r="D34" s="363"/>
      <c r="E34" s="114">
        <f>(E32+E21+E18)*Dados!E113</f>
        <v>1240.0872161813354</v>
      </c>
      <c r="F34" s="113"/>
      <c r="G34" s="111"/>
      <c r="H34" s="108">
        <f>E34</f>
        <v>1240.0872161813354</v>
      </c>
      <c r="I34" s="121"/>
      <c r="K34" s="108">
        <f>(K32+K21+K18)*Dados!E113</f>
        <v>1230.0039723252664</v>
      </c>
    </row>
    <row r="35" spans="2:13" x14ac:dyDescent="0.25">
      <c r="B35" s="352" t="s">
        <v>97</v>
      </c>
      <c r="C35" s="352"/>
      <c r="D35" s="352"/>
      <c r="E35" s="106">
        <f>SUM(E34)</f>
        <v>1240.0872161813354</v>
      </c>
      <c r="F35" s="115"/>
      <c r="G35" s="111"/>
      <c r="H35" s="109">
        <f>SUM(H34)</f>
        <v>1240.0872161813354</v>
      </c>
      <c r="I35" s="122"/>
      <c r="K35" s="109">
        <f>SUM(K34)</f>
        <v>1230.0039723252664</v>
      </c>
    </row>
    <row r="36" spans="2:13" x14ac:dyDescent="0.25">
      <c r="B36" s="357" t="s">
        <v>97</v>
      </c>
      <c r="C36" s="357"/>
      <c r="D36" s="357"/>
      <c r="E36" s="106">
        <f>E35+E32+E21+E18</f>
        <v>9507.3353240569049</v>
      </c>
      <c r="F36" s="115"/>
      <c r="G36" s="111"/>
      <c r="H36" s="109">
        <f>H35+H32+H21+H18</f>
        <v>9507.3353240569049</v>
      </c>
      <c r="I36" s="122"/>
      <c r="K36" s="109">
        <f>K35+K32+K21+K18</f>
        <v>9430.0304544937098</v>
      </c>
    </row>
    <row r="37" spans="2:13" x14ac:dyDescent="0.25">
      <c r="B37" s="359" t="s">
        <v>161</v>
      </c>
      <c r="C37" s="359"/>
      <c r="D37" s="359"/>
      <c r="E37" s="112" t="s">
        <v>78</v>
      </c>
      <c r="F37" s="111"/>
      <c r="G37" s="111"/>
      <c r="H37" s="112" t="s">
        <v>78</v>
      </c>
      <c r="K37" s="112" t="s">
        <v>78</v>
      </c>
    </row>
    <row r="38" spans="2:13" x14ac:dyDescent="0.25">
      <c r="B38" s="360" t="s">
        <v>156</v>
      </c>
      <c r="C38" s="360"/>
      <c r="D38" s="360"/>
      <c r="E38" s="107">
        <f>E36/((100-14.25)/100)</f>
        <v>11087.271514935166</v>
      </c>
      <c r="F38" s="113"/>
      <c r="G38" s="107"/>
      <c r="H38" s="107">
        <f>H36/((100-8.65)/100)</f>
        <v>10407.592035092397</v>
      </c>
      <c r="J38" s="18"/>
      <c r="K38" s="107">
        <f>K36/((100-7.99)/100)</f>
        <v>10248.919089766014</v>
      </c>
    </row>
    <row r="39" spans="2:13" x14ac:dyDescent="0.25">
      <c r="B39" s="116" t="s">
        <v>157</v>
      </c>
      <c r="C39" s="117"/>
      <c r="D39" s="118">
        <f>Dados!C117</f>
        <v>7.5999999999999998E-2</v>
      </c>
      <c r="E39" s="107">
        <f>E38*D39</f>
        <v>842.63263513507263</v>
      </c>
      <c r="F39" s="113"/>
      <c r="G39" s="123">
        <f>Dados!D117</f>
        <v>0.03</v>
      </c>
      <c r="H39" s="107">
        <f>H38*G39</f>
        <v>312.22776105277188</v>
      </c>
      <c r="J39" s="59">
        <f>Dados!E117</f>
        <v>2.4199999999999999E-2</v>
      </c>
      <c r="K39" s="107">
        <f>K38*J39</f>
        <v>248.02384197233752</v>
      </c>
    </row>
    <row r="40" spans="2:13" x14ac:dyDescent="0.25">
      <c r="B40" s="116" t="s">
        <v>158</v>
      </c>
      <c r="C40" s="117"/>
      <c r="D40" s="118">
        <f>Dados!C118</f>
        <v>1.6500000000000001E-2</v>
      </c>
      <c r="E40" s="107">
        <f>E38*D40</f>
        <v>182.93997999643025</v>
      </c>
      <c r="F40" s="113"/>
      <c r="G40" s="123">
        <f>Dados!D118</f>
        <v>6.4999999999999997E-3</v>
      </c>
      <c r="H40" s="107">
        <f>H38*G40</f>
        <v>67.649348228100578</v>
      </c>
      <c r="J40" s="59">
        <f>Dados!E118</f>
        <v>5.7000000000000002E-3</v>
      </c>
      <c r="K40" s="107">
        <f>K38*J40</f>
        <v>58.418838811666284</v>
      </c>
    </row>
    <row r="41" spans="2:13" x14ac:dyDescent="0.25">
      <c r="B41" s="116" t="s">
        <v>159</v>
      </c>
      <c r="C41" s="117"/>
      <c r="D41" s="118">
        <f>Dados!C119</f>
        <v>0.05</v>
      </c>
      <c r="E41" s="107">
        <f>E38*D41</f>
        <v>554.36357574675833</v>
      </c>
      <c r="F41" s="113"/>
      <c r="G41" s="123">
        <f>Dados!D119</f>
        <v>0.05</v>
      </c>
      <c r="H41" s="107">
        <f>H38*G41</f>
        <v>520.3796017546199</v>
      </c>
      <c r="J41" s="125">
        <f>Dados!E119</f>
        <v>0.05</v>
      </c>
      <c r="K41" s="107">
        <f>K38*J41</f>
        <v>512.44595448830069</v>
      </c>
    </row>
    <row r="42" spans="2:13" x14ac:dyDescent="0.25">
      <c r="B42" s="366" t="s">
        <v>160</v>
      </c>
      <c r="C42" s="366"/>
      <c r="D42" s="366"/>
      <c r="E42" s="106">
        <f>SUM(E39:E41)</f>
        <v>1579.9361908782612</v>
      </c>
      <c r="F42" s="115"/>
      <c r="G42" s="124">
        <f>SUM(G39:G41)</f>
        <v>8.6499999999999994E-2</v>
      </c>
      <c r="H42" s="109">
        <f>SUM(H39:H41)</f>
        <v>900.25671103549234</v>
      </c>
      <c r="I42" s="77"/>
      <c r="J42" s="126">
        <f>SUM(J39:J41)</f>
        <v>7.9899999999999999E-2</v>
      </c>
      <c r="K42" s="106">
        <f>SUM(K39:K41)</f>
        <v>818.88863527230455</v>
      </c>
    </row>
    <row r="43" spans="2:13" x14ac:dyDescent="0.25">
      <c r="B43" s="110"/>
      <c r="C43" s="6"/>
      <c r="D43" s="6"/>
      <c r="E43" s="112" t="s">
        <v>78</v>
      </c>
      <c r="F43" s="111"/>
      <c r="G43" s="111"/>
      <c r="H43" s="112" t="s">
        <v>78</v>
      </c>
      <c r="K43" s="112" t="s">
        <v>78</v>
      </c>
    </row>
    <row r="44" spans="2:13" x14ac:dyDescent="0.25">
      <c r="B44" s="356" t="s">
        <v>116</v>
      </c>
      <c r="C44" s="356"/>
      <c r="D44" s="356"/>
      <c r="E44" s="68">
        <f>E42+E36</f>
        <v>11087.271514935166</v>
      </c>
      <c r="F44" s="119"/>
      <c r="H44" s="109">
        <f>H36+H42</f>
        <v>10407.592035092397</v>
      </c>
      <c r="I44" s="77"/>
      <c r="J44" s="77"/>
      <c r="K44" s="109">
        <f>K42+K36</f>
        <v>10248.919089766014</v>
      </c>
    </row>
    <row r="45" spans="2:13" x14ac:dyDescent="0.25">
      <c r="B45" s="6"/>
      <c r="C45" s="6"/>
      <c r="D45" s="22" t="s">
        <v>168</v>
      </c>
      <c r="E45" s="68">
        <f>E44/Dados!E24</f>
        <v>7.6781658690686747</v>
      </c>
      <c r="F45" s="119"/>
      <c r="H45" s="109">
        <f>H44/Dados!E24</f>
        <v>7.2074737085127403</v>
      </c>
      <c r="K45" s="109">
        <f>K44/Dados!E24</f>
        <v>7.0975893973448851</v>
      </c>
      <c r="M45" s="210"/>
    </row>
    <row r="46" spans="2:13" x14ac:dyDescent="0.25">
      <c r="E46" s="82"/>
    </row>
    <row r="47" spans="2:13" x14ac:dyDescent="0.25">
      <c r="E47" s="82"/>
    </row>
    <row r="48" spans="2:13" x14ac:dyDescent="0.25">
      <c r="E48" s="82"/>
    </row>
    <row r="49" spans="5:5" x14ac:dyDescent="0.25">
      <c r="E49" s="82"/>
    </row>
    <row r="50" spans="5:5" x14ac:dyDescent="0.25">
      <c r="E50" s="82"/>
    </row>
    <row r="51" spans="5:5" x14ac:dyDescent="0.25">
      <c r="E51" s="82"/>
    </row>
    <row r="52" spans="5:5" x14ac:dyDescent="0.25">
      <c r="E52" s="82"/>
    </row>
    <row r="53" spans="5:5" x14ac:dyDescent="0.25">
      <c r="E53" s="82"/>
    </row>
    <row r="54" spans="5:5" x14ac:dyDescent="0.25">
      <c r="E54" s="82"/>
    </row>
    <row r="55" spans="5:5" x14ac:dyDescent="0.25">
      <c r="E55" s="82"/>
    </row>
    <row r="56" spans="5:5" x14ac:dyDescent="0.25">
      <c r="E56" s="82"/>
    </row>
    <row r="57" spans="5:5" x14ac:dyDescent="0.25">
      <c r="E57" s="82"/>
    </row>
    <row r="58" spans="5:5" x14ac:dyDescent="0.25">
      <c r="E58" s="82"/>
    </row>
    <row r="59" spans="5:5" x14ac:dyDescent="0.25">
      <c r="E59" s="82"/>
    </row>
    <row r="60" spans="5:5" x14ac:dyDescent="0.25">
      <c r="E60" s="82"/>
    </row>
    <row r="61" spans="5:5" x14ac:dyDescent="0.25">
      <c r="E61" s="82"/>
    </row>
    <row r="62" spans="5:5" x14ac:dyDescent="0.25">
      <c r="E62" s="82"/>
    </row>
    <row r="63" spans="5:5" x14ac:dyDescent="0.25">
      <c r="E63" s="82"/>
    </row>
    <row r="64" spans="5:5" x14ac:dyDescent="0.25">
      <c r="E64" s="82"/>
    </row>
    <row r="65" spans="5:5" x14ac:dyDescent="0.25">
      <c r="E65" s="82"/>
    </row>
    <row r="66" spans="5:5" x14ac:dyDescent="0.25">
      <c r="E66" s="82"/>
    </row>
    <row r="67" spans="5:5" x14ac:dyDescent="0.25">
      <c r="E67" s="82"/>
    </row>
    <row r="68" spans="5:5" x14ac:dyDescent="0.25">
      <c r="E68" s="82"/>
    </row>
  </sheetData>
  <sheetProtection algorithmName="SHA-512" hashValue="AHWqUz48udcaNS2MWolQUJzQUwyYKLBhbUPRoOSN12elgnKUWIDajYbErrrWtB+ssMHy+fk60vEIXGjqmBp0vg==" saltValue="akt3qfucPjTHc9biI0KOeg==" spinCount="100000" sheet="1" objects="1" scenarios="1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2022-07-11T13:42:04Z</dcterms:modified>
</cp:coreProperties>
</file>