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0F8674A6-B21B-4F91-909F-4223BD581F4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C45" i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<sst xmlns="http://schemas.openxmlformats.org/spreadsheetml/2006/main" count="286" uniqueCount="192">
  <si>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</si>
  <si>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</si>
  <si>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</si>
  <si>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</si>
  <si>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</si>
  <si>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</si>
  <si>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</si>
  <si>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</si>
  <si>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</si>
  <si>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</si>
  <si>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</si>
  <si>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</si>
  <si>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</si>
  <si>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</si>
  <si>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</si>
  <si>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</si>
  <si>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</si>
  <si>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</si>
  <si>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</si>
  <si>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</si>
  <si>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</si>
  <si>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</si>
  <si>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</si>
  <si>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</si>
  <si>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</si>
  <si>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</si>
  <si>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</si>
  <si>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</si>
  <si>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</si>
  <si>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</si>
  <si>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</si>
  <si>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</si>
  <si>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</si>
  <si>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</si>
  <si>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</si>
  <si>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</si>
  <si>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</si>
  <si>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</si>
  <si>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</si>
  <si>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</si>
  <si>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</si>
  <si>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</si>
  <si>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</si>
  <si>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</si>
  <si>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</si>
  <si>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</si>
  <si>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</si>
  <si>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</si>
  <si>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</si>
  <si>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</si>
  <si>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</si>
  <si>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</si>
  <si>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</si>
  <si>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</si>
  <si>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</si>
  <si>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</si>
  <si>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</si>
  <si>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</si>
  <si>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</si>
  <si>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</si>
  <si>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</si>
  <si>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</si>
  <si>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</si>
  <si>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</si>
  <si>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</si>
  <si>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</si>
  <si>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</si>
  <si>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</si>
  <si>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</si>
  <si>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</si>
  <si>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</si>
  <si>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</si>
  <si>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</si>
  <si>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</si>
  <si>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</si>
  <si>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</si>
  <si>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</si>
  <si>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</si>
  <si>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</si>
  <si>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</si>
  <si>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</si>
  <si>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</si>
  <si>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</si>
  <si>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</si>
  <si>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</si>
  <si>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</si>
  <si>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</si>
  <si>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</si>
  <si>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</si>
  <si>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</si>
  <si>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</si>
  <si>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</si>
  <si>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</si>
  <si>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</si>
  <si>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</si>
  <si>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</si>
  <si>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</si>
  <si>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</si>
  <si>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</si>
  <si>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</si>
  <si>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</si>
  <si>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</si>
  <si>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</si>
  <si>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</si>
  <si>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</si>
  <si>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</si>
  <si>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</si>
  <si>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</si>
  <si>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</si>
  <si>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</si>
  <si>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</si>
  <si>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</si>
  <si>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</si>
  <si>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</si>
  <si>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</si>
  <si>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</si>
  <si>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</si>
  <si>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</si>
  <si>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</si>
  <si>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</si>
  <si>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</si>
  <si>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</si>
  <si>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</si>
  <si>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</si>
  <si>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</si>
  <si>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</si>
  <si>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</si>
  <si>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</si>
  <si>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</si>
  <si>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</si>
  <si>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</si>
  <si>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</si>
  <si>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</si>
  <si>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</si>
  <si>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</si>
  <si>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</si>
  <si>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</si>
  <si>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</si>
  <si>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</si>
  <si>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</si>
  <si>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</si>
  <si>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</si>
  <si>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</si>
  <si>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</si>
  <si>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</si>
  <si>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</si>
  <si>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</si>
  <si>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</si>
  <si>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</si>
  <si>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</si>
  <si>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</si>
  <si>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</si>
  <si>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</si>
  <si>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</si>
  <si>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</si>
  <si>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</si>
  <si>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</si>
  <si>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</si>
  <si>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</si>
  <si>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</si>
  <si>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</si>
  <si>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</si>
  <si>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</si>
  <si>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</si>
  <si>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</si>
  <si>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</si>
  <si>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</si>
  <si>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</si>
  <si>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</si>
  <si>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</si>
  <si>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</si>
  <si>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</si>
  <si>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</si>
  <si>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</si>
  <si>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</si>
  <si>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</si>
  <si>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</si>
  <si>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</si>
  <si>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</si>
  <si>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</si>
  <si>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</si>
  <si>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</si>
  <si>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</si>
  <si>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</si>
  <si>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</si>
  <si>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</si>
  <si>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</si>
  <si>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Noite</t>
  </si>
  <si>
    <t>DADOS DA CONTRATAÇÃO: LINHA 07</t>
  </si>
  <si>
    <t>ITEM 07- LINHA 07- CERRO DA DATA</t>
  </si>
  <si>
    <t>KOMBI</t>
  </si>
  <si>
    <t>GASOLINA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</si>
</sst>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175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176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188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178</v>
      </c>
      <c r="E14" s="264"/>
    </row>
    <row r="15" spans="2:9" x14ac:dyDescent="0.25">
      <c r="B15" s="216" t="s">
        <v>187</v>
      </c>
      <c r="C15" s="216"/>
      <c r="D15" s="265">
        <v>15</v>
      </c>
      <c r="E15" s="265"/>
    </row>
    <row r="17" spans="1:9" ht="15.75" customHeight="1" x14ac:dyDescent="0.25">
      <c r="B17" s="254" t="s">
        <v>185</v>
      </c>
      <c r="C17" s="255"/>
      <c r="D17" s="1"/>
      <c r="E17" s="2"/>
    </row>
    <row r="18" spans="1:9" ht="15" customHeight="1" x14ac:dyDescent="0.25">
      <c r="B18" s="260" t="s">
        <v>189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35</v>
      </c>
      <c r="D23" s="51">
        <v>35</v>
      </c>
      <c r="E23" s="51">
        <v>70</v>
      </c>
    </row>
    <row r="24" spans="1:9" x14ac:dyDescent="0.25">
      <c r="B24" s="13" t="s">
        <v>24</v>
      </c>
      <c r="C24" s="105">
        <f>C23*E11</f>
        <v>665</v>
      </c>
      <c r="D24" s="51">
        <f>D23*E11</f>
        <v>665</v>
      </c>
      <c r="E24" s="51">
        <f>C24+D24</f>
        <v>1330</v>
      </c>
    </row>
    <row r="25" spans="1:9" x14ac:dyDescent="0.25">
      <c r="B25" s="13" t="s">
        <v>56</v>
      </c>
      <c r="C25" s="105">
        <f>C23*E9</f>
        <v>3220</v>
      </c>
      <c r="D25" s="51">
        <f>D23*E9</f>
        <v>3220</v>
      </c>
      <c r="E25" s="51">
        <f>C25+D25</f>
        <v>6440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0.29166666666666669</v>
      </c>
      <c r="D29" s="14">
        <v>0.3263888888888889</v>
      </c>
      <c r="E29" s="14">
        <f>D29-C29</f>
        <v>3.472222222222221E-2</v>
      </c>
    </row>
    <row r="30" spans="1:9" x14ac:dyDescent="0.25">
      <c r="B30" s="13" t="s">
        <v>15</v>
      </c>
      <c r="C30" s="14">
        <v>0.5</v>
      </c>
      <c r="D30" s="14">
        <v>0.53472222222222221</v>
      </c>
      <c r="E30" s="14">
        <f>D30-C30</f>
        <v>3.472222222222221E-2</v>
      </c>
    </row>
    <row r="31" spans="1:9" x14ac:dyDescent="0.25">
      <c r="B31" s="204" t="s">
        <v>180</v>
      </c>
      <c r="C31" s="205">
        <v>0.70833333333333337</v>
      </c>
      <c r="D31" s="206">
        <v>0.74305555555555547</v>
      </c>
      <c r="E31" s="14">
        <v>3.4722222222222224E-2</v>
      </c>
    </row>
    <row r="32" spans="1:9" x14ac:dyDescent="0.25">
      <c r="B32" s="256" t="s">
        <v>9</v>
      </c>
      <c r="C32" s="257"/>
      <c r="D32" s="258"/>
      <c r="E32" s="15">
        <f>SUM(E29:E31)</f>
        <v>0.10416666666666664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3.472222222222221E-2</v>
      </c>
      <c r="D36" s="20">
        <f>(C30-D29)-D106</f>
        <v>6.9444444444444434E-2</v>
      </c>
      <c r="E36" s="19">
        <f>C36+D36</f>
        <v>0.10416666666666664</v>
      </c>
    </row>
    <row r="37" spans="2:9" x14ac:dyDescent="0.25">
      <c r="B37" s="18" t="str">
        <f>B30</f>
        <v>Rota 2</v>
      </c>
      <c r="C37" s="20">
        <f>D30-C30</f>
        <v>3.472222222222221E-2</v>
      </c>
      <c r="D37" s="19">
        <v>0</v>
      </c>
      <c r="E37" s="19">
        <f>C37+D37</f>
        <v>3.472222222222221E-2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6.944444444444442E-2</v>
      </c>
      <c r="D39" s="208">
        <f>SUM(D36:D38)</f>
        <v>6.9444444444444434E-2</v>
      </c>
      <c r="E39" s="21">
        <f>SUM(E36:E38)</f>
        <v>0.13888888888888884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0.83333333333333304</v>
      </c>
      <c r="D43" s="57">
        <f>D36*24</f>
        <v>1.6666666666666665</v>
      </c>
      <c r="E43" s="57">
        <f>C43+D43</f>
        <v>2.4999999999999996</v>
      </c>
    </row>
    <row r="44" spans="2:9" x14ac:dyDescent="0.25">
      <c r="B44" s="18" t="str">
        <f>B37</f>
        <v>Rota 2</v>
      </c>
      <c r="C44" s="57">
        <f>E30*24</f>
        <v>0.83333333333333304</v>
      </c>
      <c r="D44" s="19">
        <f>D37*24</f>
        <v>0</v>
      </c>
      <c r="E44" s="57">
        <f>C44+D44</f>
        <v>0.83333333333333304</v>
      </c>
    </row>
    <row r="45" spans="2:9" x14ac:dyDescent="0.25">
      <c r="B45" s="18" t="s">
        <v>180</v>
      </c>
      <c r="C45" s="57">
        <f>E31*24</f>
        <v>0.83333333333333337</v>
      </c>
      <c r="D45" s="24">
        <f>D38*24</f>
        <v>0</v>
      </c>
      <c r="E45" s="57">
        <f>C45+D45</f>
        <v>0.83333333333333337</v>
      </c>
    </row>
    <row r="46" spans="2:9" x14ac:dyDescent="0.25">
      <c r="B46" s="18"/>
      <c r="C46" s="209">
        <f>SUM(C43:C45)</f>
        <v>2.4999999999999996</v>
      </c>
      <c r="D46" s="209">
        <f>SUM(D43:D45)</f>
        <v>1.6666666666666665</v>
      </c>
      <c r="E46" s="209">
        <f>SUM(E43:E45)</f>
        <v>4.1666666666666661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47.499999999999993</v>
      </c>
      <c r="D50" s="26">
        <f>(D43+D45)*E11</f>
        <v>31.666666666666664</v>
      </c>
      <c r="E50" s="27">
        <f>C50+D50</f>
        <v>79.166666666666657</v>
      </c>
    </row>
    <row r="51" spans="2:10" x14ac:dyDescent="0.25">
      <c r="B51" s="217" t="s">
        <v>171</v>
      </c>
      <c r="C51" s="234"/>
      <c r="D51" s="235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34"/>
      <c r="D52" s="235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34"/>
      <c r="D53" s="235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34"/>
      <c r="D54" s="235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34"/>
      <c r="D55" s="235"/>
      <c r="E55" s="27">
        <f>(C50*E53)/E52</f>
        <v>0.21590909090909088</v>
      </c>
      <c r="I55" s="130"/>
      <c r="J55" s="127"/>
    </row>
    <row r="56" spans="2:10" x14ac:dyDescent="0.25">
      <c r="B56" s="217" t="s">
        <v>22</v>
      </c>
      <c r="C56" s="234"/>
      <c r="D56" s="235"/>
      <c r="E56" s="27">
        <f>(D50*E53)/E52</f>
        <v>0.14393939393939392</v>
      </c>
      <c r="I56" s="130"/>
      <c r="J56" s="127"/>
    </row>
    <row r="57" spans="2:10" x14ac:dyDescent="0.25">
      <c r="B57" s="236" t="s">
        <v>23</v>
      </c>
      <c r="C57" s="218"/>
      <c r="D57" s="219"/>
      <c r="E57" s="31">
        <f>SUM(E55:E56)</f>
        <v>0.35984848484848481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190</v>
      </c>
    </row>
    <row r="62" spans="2:10" x14ac:dyDescent="0.25">
      <c r="B62" s="217" t="s">
        <v>29</v>
      </c>
      <c r="C62" s="234"/>
      <c r="D62" s="235"/>
      <c r="E62" s="35">
        <f>D15</f>
        <v>15</v>
      </c>
    </row>
    <row r="63" spans="2:10" x14ac:dyDescent="0.25">
      <c r="B63" s="217" t="s">
        <v>30</v>
      </c>
      <c r="C63" s="234"/>
      <c r="D63" s="235"/>
      <c r="E63" s="35" t="s">
        <v>191</v>
      </c>
    </row>
    <row r="64" spans="2:10" x14ac:dyDescent="0.25">
      <c r="B64" s="217" t="s">
        <v>31</v>
      </c>
      <c r="C64" s="234"/>
      <c r="D64" s="235"/>
      <c r="E64" s="35">
        <v>2014</v>
      </c>
    </row>
    <row r="65" spans="2:9" x14ac:dyDescent="0.25">
      <c r="B65" s="36" t="s">
        <v>32</v>
      </c>
      <c r="C65" s="37"/>
      <c r="D65" s="38"/>
      <c r="E65" s="35">
        <v>6</v>
      </c>
    </row>
    <row r="66" spans="2:9" x14ac:dyDescent="0.25">
      <c r="B66" s="10"/>
      <c r="C66" s="10"/>
      <c r="D66" s="10"/>
      <c r="E66" s="39"/>
    </row>
    <row r="67" spans="2:9" x14ac:dyDescent="0.25">
      <c r="B67" s="236" t="s">
        <v>42</v>
      </c>
      <c r="C67" s="218"/>
      <c r="D67" s="218"/>
      <c r="E67" s="219"/>
    </row>
    <row r="68" spans="2:9" x14ac:dyDescent="0.25">
      <c r="B68" s="13" t="s">
        <v>35</v>
      </c>
      <c r="C68" s="40"/>
      <c r="D68" s="41">
        <v>1</v>
      </c>
      <c r="E68" s="42">
        <v>49900</v>
      </c>
    </row>
    <row r="69" spans="2:9" x14ac:dyDescent="0.25">
      <c r="B69" s="217" t="s">
        <v>36</v>
      </c>
      <c r="C69" s="234"/>
      <c r="D69" s="43">
        <v>1</v>
      </c>
      <c r="E69" s="27">
        <v>80</v>
      </c>
    </row>
    <row r="70" spans="2:9" x14ac:dyDescent="0.25">
      <c r="B70" s="217" t="s">
        <v>37</v>
      </c>
      <c r="C70" s="234"/>
      <c r="D70" s="43">
        <v>1</v>
      </c>
      <c r="E70" s="27" t="s">
        <v>44</v>
      </c>
    </row>
    <row r="71" spans="2:9" x14ac:dyDescent="0.25">
      <c r="B71" s="217" t="s">
        <v>38</v>
      </c>
      <c r="C71" s="234"/>
      <c r="D71" s="43">
        <v>1</v>
      </c>
      <c r="E71" s="27">
        <v>37.9</v>
      </c>
    </row>
    <row r="72" spans="2:9" x14ac:dyDescent="0.25">
      <c r="B72" s="239" t="s">
        <v>39</v>
      </c>
      <c r="C72" s="239"/>
      <c r="D72" s="43">
        <v>2</v>
      </c>
      <c r="E72" s="28">
        <v>91.11</v>
      </c>
    </row>
    <row r="73" spans="2:9" x14ac:dyDescent="0.25">
      <c r="B73" s="240" t="s">
        <v>40</v>
      </c>
      <c r="C73" s="241"/>
      <c r="D73" s="43">
        <v>1</v>
      </c>
      <c r="E73" s="27">
        <v>330</v>
      </c>
    </row>
    <row r="74" spans="2:9" x14ac:dyDescent="0.25">
      <c r="B74" s="237" t="s">
        <v>30</v>
      </c>
      <c r="C74" s="238"/>
      <c r="D74" s="43">
        <v>1</v>
      </c>
      <c r="E74" s="33">
        <v>7.01</v>
      </c>
    </row>
    <row r="75" spans="2:9" x14ac:dyDescent="0.25">
      <c r="B75" s="242" t="s">
        <v>163</v>
      </c>
      <c r="C75" s="242"/>
      <c r="D75" s="53">
        <v>0.15</v>
      </c>
      <c r="E75" s="42">
        <f>((E68-E78)*D75)/12</f>
        <v>499</v>
      </c>
      <c r="I75" s="61"/>
    </row>
    <row r="76" spans="2:9" x14ac:dyDescent="0.25">
      <c r="B76" s="242" t="s">
        <v>164</v>
      </c>
      <c r="C76" s="242"/>
      <c r="D76" s="53">
        <v>0.1</v>
      </c>
      <c r="E76" s="42">
        <f>(((E68-E78)-E75)*D76)/12</f>
        <v>328.50833333333338</v>
      </c>
      <c r="I76" s="61"/>
    </row>
    <row r="77" spans="2:9" x14ac:dyDescent="0.25">
      <c r="B77" s="237" t="s">
        <v>45</v>
      </c>
      <c r="C77" s="238"/>
      <c r="D77" s="53" t="s">
        <v>46</v>
      </c>
      <c r="E77" s="42">
        <v>17</v>
      </c>
    </row>
    <row r="78" spans="2:9" x14ac:dyDescent="0.25">
      <c r="B78" s="242" t="s">
        <v>41</v>
      </c>
      <c r="C78" s="242"/>
      <c r="D78" s="53">
        <v>0.2</v>
      </c>
      <c r="E78" s="42">
        <f>E68*D78</f>
        <v>9980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33</v>
      </c>
      <c r="C81" s="223"/>
      <c r="D81" s="223"/>
      <c r="E81" s="223"/>
    </row>
    <row r="82" spans="1:5" x14ac:dyDescent="0.25">
      <c r="A82" s="46"/>
      <c r="B82" s="231" t="s">
        <v>34</v>
      </c>
      <c r="C82" s="232"/>
      <c r="D82" s="232"/>
      <c r="E82" s="233"/>
    </row>
    <row r="83" spans="1:5" x14ac:dyDescent="0.25">
      <c r="B83" s="228" t="s">
        <v>48</v>
      </c>
      <c r="C83" s="229"/>
      <c r="D83" s="230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47</v>
      </c>
      <c r="C85" s="223"/>
      <c r="D85" s="223"/>
      <c r="E85" s="223"/>
    </row>
    <row r="86" spans="1:5" x14ac:dyDescent="0.25">
      <c r="B86" s="231" t="s">
        <v>34</v>
      </c>
      <c r="C86" s="232"/>
      <c r="D86" s="232"/>
      <c r="E86" s="233"/>
    </row>
    <row r="87" spans="1:5" x14ac:dyDescent="0.25">
      <c r="B87" s="228" t="s">
        <v>48</v>
      </c>
      <c r="C87" s="229"/>
      <c r="D87" s="230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51</v>
      </c>
      <c r="C89" s="222"/>
      <c r="D89" s="222"/>
      <c r="E89" s="22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633.29999999999995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300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57</v>
      </c>
      <c r="C95" s="223"/>
      <c r="D95" s="223"/>
      <c r="E95" s="223"/>
    </row>
    <row r="96" spans="1:5" x14ac:dyDescent="0.25">
      <c r="B96" s="224" t="s">
        <v>58</v>
      </c>
      <c r="C96" s="224"/>
      <c r="D96" s="225" t="s">
        <v>186</v>
      </c>
      <c r="E96" s="225"/>
    </row>
    <row r="97" spans="2:5" x14ac:dyDescent="0.25">
      <c r="B97" s="72" t="s">
        <v>59</v>
      </c>
      <c r="C97" s="72"/>
      <c r="D97" s="226" t="s">
        <v>60</v>
      </c>
      <c r="E97" s="226"/>
    </row>
    <row r="98" spans="2:5" x14ac:dyDescent="0.25">
      <c r="B98" s="227" t="s">
        <v>61</v>
      </c>
      <c r="C98" s="227"/>
      <c r="D98" s="22"/>
      <c r="E98" s="23"/>
    </row>
    <row r="99" spans="2:5" x14ac:dyDescent="0.25">
      <c r="B99" s="228" t="s">
        <v>62</v>
      </c>
      <c r="C99" s="229"/>
      <c r="D99" s="230"/>
      <c r="E99" s="50">
        <v>1799.53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0" t="s">
        <v>64</v>
      </c>
      <c r="C101" s="220"/>
      <c r="D101" s="57">
        <v>17.739999999999998</v>
      </c>
      <c r="E101" s="59">
        <v>0.05</v>
      </c>
    </row>
    <row r="102" spans="2:5" x14ac:dyDescent="0.25">
      <c r="B102" s="220" t="s">
        <v>63</v>
      </c>
      <c r="C102" s="220"/>
      <c r="D102" s="18">
        <v>0</v>
      </c>
      <c r="E102" s="59">
        <v>0.06</v>
      </c>
    </row>
    <row r="103" spans="2:5" x14ac:dyDescent="0.25">
      <c r="B103" s="220" t="s">
        <v>66</v>
      </c>
      <c r="C103" s="220"/>
      <c r="D103" s="18">
        <v>128.68</v>
      </c>
      <c r="E103" s="59">
        <v>0.2</v>
      </c>
    </row>
    <row r="104" spans="2:5" x14ac:dyDescent="0.25">
      <c r="B104" s="220" t="s">
        <v>67</v>
      </c>
      <c r="C104" s="220"/>
      <c r="D104" s="57">
        <v>0</v>
      </c>
      <c r="E104" s="21"/>
    </row>
    <row r="105" spans="2:5" x14ac:dyDescent="0.25">
      <c r="B105" s="220" t="s">
        <v>68</v>
      </c>
      <c r="C105" s="22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70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73</v>
      </c>
    </row>
    <row r="110" spans="2:5" x14ac:dyDescent="0.25">
      <c r="B110" s="216" t="s">
        <v>183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67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167</v>
      </c>
      <c r="E2" s="267"/>
      <c r="F2" s="267"/>
      <c r="G2" s="267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75</v>
      </c>
      <c r="C3" s="294"/>
      <c r="D3" s="294"/>
      <c r="E3" s="294"/>
      <c r="F3" s="294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62</v>
      </c>
      <c r="C4" s="346"/>
      <c r="D4" s="346"/>
      <c r="E4" s="347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77</v>
      </c>
      <c r="C6" s="349"/>
      <c r="D6" s="349"/>
      <c r="E6" s="350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78</v>
      </c>
      <c r="C8" s="294"/>
      <c r="D8" s="294"/>
      <c r="E8" s="294"/>
      <c r="F8" s="294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79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80</v>
      </c>
      <c r="C11" s="341"/>
      <c r="D11" s="341"/>
      <c r="E11" s="341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81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82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83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86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87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88</v>
      </c>
      <c r="C21" s="294"/>
      <c r="D21" s="294"/>
      <c r="E21" s="294"/>
      <c r="F21" s="294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89</v>
      </c>
      <c r="C22" s="274"/>
      <c r="D22" s="274"/>
      <c r="E22" s="274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90</v>
      </c>
      <c r="C23" s="305"/>
      <c r="D23" s="305"/>
      <c r="E23" s="305"/>
      <c r="F23" s="305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96</v>
      </c>
      <c r="C25" s="294"/>
      <c r="D25" s="294"/>
      <c r="E25" s="294"/>
      <c r="F25" s="294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116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100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97</v>
      </c>
      <c r="C29" s="294"/>
      <c r="D29" s="294"/>
      <c r="E29" s="294"/>
      <c r="F29" s="294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91</v>
      </c>
      <c r="C30" s="302"/>
      <c r="D30" s="303"/>
      <c r="E30" s="295">
        <v>0.2</v>
      </c>
      <c r="F30" s="296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92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93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177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94</v>
      </c>
      <c r="C34" s="272"/>
      <c r="D34" s="273"/>
      <c r="E34" s="299">
        <v>0.08</v>
      </c>
      <c r="F34" s="300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95</v>
      </c>
      <c r="C35" s="306"/>
      <c r="D35" s="306"/>
      <c r="E35" s="307">
        <f>SUM(E30:E34)</f>
        <v>0.36800000000000005</v>
      </c>
      <c r="F35" s="30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98</v>
      </c>
      <c r="C36" s="309"/>
      <c r="D36" s="309"/>
      <c r="E36" s="309"/>
      <c r="F36" s="31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99</v>
      </c>
      <c r="C37" s="311"/>
      <c r="D37" s="311"/>
      <c r="E37" s="311"/>
      <c r="F37" s="31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106</v>
      </c>
      <c r="C39" s="294"/>
      <c r="D39" s="294"/>
      <c r="E39" s="294"/>
      <c r="F39" s="294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87">
        <f>G6+G22+O25</f>
        <v>1949.4908333333333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101</v>
      </c>
      <c r="C40" s="281"/>
      <c r="D40" s="281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127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102</v>
      </c>
      <c r="C41" s="281"/>
      <c r="D41" s="281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103</v>
      </c>
      <c r="C42" s="281"/>
      <c r="D42" s="281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287" t="s">
        <v>118</v>
      </c>
      <c r="N42" s="287" t="s">
        <v>119</v>
      </c>
      <c r="O42" s="287" t="s">
        <v>120</v>
      </c>
      <c r="P42" s="289" t="s">
        <v>126</v>
      </c>
      <c r="Q42" s="289" t="s">
        <v>122</v>
      </c>
      <c r="R42" s="285" t="s">
        <v>123</v>
      </c>
      <c r="S42" s="285" t="s">
        <v>124</v>
      </c>
      <c r="T42" s="285" t="s">
        <v>125</v>
      </c>
      <c r="U42" s="170"/>
      <c r="V42" s="170"/>
      <c r="W42" s="170"/>
      <c r="X42" s="170"/>
    </row>
    <row r="43" spans="2:24" ht="22.5" customHeight="1" x14ac:dyDescent="0.25">
      <c r="B43" s="281" t="s">
        <v>104</v>
      </c>
      <c r="C43" s="281"/>
      <c r="D43" s="281"/>
      <c r="E43" s="78"/>
      <c r="F43" s="143"/>
      <c r="G43" s="151">
        <f>T57</f>
        <v>40.408111596036264</v>
      </c>
      <c r="H43" s="140"/>
      <c r="I43" s="140"/>
      <c r="J43" s="151">
        <f>T58</f>
        <v>40.408111596036264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111</v>
      </c>
      <c r="C44" s="282"/>
      <c r="D44" s="282"/>
      <c r="E44" s="282"/>
      <c r="F44" s="282"/>
      <c r="G44" s="151">
        <f>G43*E35</f>
        <v>14.870185067341348</v>
      </c>
      <c r="H44" s="140"/>
      <c r="I44" s="140"/>
      <c r="J44" s="151">
        <f>G44</f>
        <v>14.870185067341348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1" t="s">
        <v>105</v>
      </c>
      <c r="C45" s="281"/>
      <c r="D45" s="281"/>
      <c r="E45" s="78"/>
      <c r="F45" s="143"/>
      <c r="G45" s="151">
        <f>R61</f>
        <v>76.662269319999993</v>
      </c>
      <c r="H45" s="140"/>
      <c r="I45" s="140"/>
      <c r="J45" s="151">
        <f>G45</f>
        <v>76.662269319999993</v>
      </c>
      <c r="K45" s="140"/>
      <c r="L45" s="140"/>
      <c r="M45" s="168"/>
      <c r="N45" s="168"/>
      <c r="O45" s="168"/>
      <c r="P45" s="168"/>
      <c r="Q45" s="286" t="s">
        <v>117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211.48127167281467</v>
      </c>
      <c r="H46" s="140"/>
      <c r="I46" s="140"/>
      <c r="J46" s="79">
        <f>SUM(J40:J45)</f>
        <v>211.48127167281467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109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139</v>
      </c>
      <c r="C49" s="324"/>
      <c r="D49" s="324"/>
      <c r="E49" s="324"/>
      <c r="F49" s="325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108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132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173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112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110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133</v>
      </c>
      <c r="N54" s="330"/>
      <c r="O54" s="330"/>
      <c r="P54" s="331"/>
      <c r="Q54" s="183" t="s">
        <v>128</v>
      </c>
      <c r="R54" s="184">
        <f>G6+G15+G22+O25+G30+G31+G32+G33+G36+G34</f>
        <v>2948.54882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113</v>
      </c>
      <c r="C56" s="336"/>
      <c r="D56" s="336"/>
      <c r="E56" s="336"/>
      <c r="F56" s="337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1" t="s">
        <v>75</v>
      </c>
      <c r="C57" s="281"/>
      <c r="D57" s="281"/>
      <c r="E57" s="281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3833.1134659999998</v>
      </c>
      <c r="Q57" s="90">
        <f>Q44</f>
        <v>47.43</v>
      </c>
      <c r="R57" s="191">
        <f>P57/Q57</f>
        <v>80.816223192072528</v>
      </c>
      <c r="S57" s="91">
        <v>0.5</v>
      </c>
      <c r="T57" s="192">
        <f>R57*S57</f>
        <v>40.408111596036264</v>
      </c>
      <c r="U57" s="170"/>
      <c r="V57" s="140"/>
      <c r="W57" s="140"/>
      <c r="X57" s="140"/>
    </row>
    <row r="58" spans="2:24" x14ac:dyDescent="0.25">
      <c r="B58" s="274" t="s">
        <v>78</v>
      </c>
      <c r="C58" s="274"/>
      <c r="D58" s="274"/>
      <c r="E58" s="274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168</v>
      </c>
      <c r="N58" s="140"/>
      <c r="O58" s="140"/>
      <c r="P58" s="193">
        <f>((R54-(G32+G33))/30)*O57</f>
        <v>3833.1134659999998</v>
      </c>
      <c r="Q58" s="154"/>
      <c r="R58" s="194">
        <f>P58/Q57</f>
        <v>80.816223192072528</v>
      </c>
      <c r="S58" s="140"/>
      <c r="T58" s="154">
        <f>R58*S57</f>
        <v>40.408111596036264</v>
      </c>
      <c r="U58" s="140"/>
      <c r="V58" s="140"/>
      <c r="W58" s="140"/>
      <c r="X58" s="140"/>
    </row>
    <row r="59" spans="2:24" x14ac:dyDescent="0.25">
      <c r="B59" s="274" t="s">
        <v>85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105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88</v>
      </c>
      <c r="C60" s="274"/>
      <c r="D60" s="274"/>
      <c r="E60" s="274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96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3833.1134659999998</v>
      </c>
      <c r="N61" s="201">
        <v>0.5</v>
      </c>
      <c r="O61" s="201">
        <v>0.08</v>
      </c>
      <c r="P61" s="202">
        <f>M61*N61*O61</f>
        <v>153.32453863999999</v>
      </c>
      <c r="Q61" s="92">
        <v>0.5</v>
      </c>
      <c r="R61" s="179">
        <f>P61*Q61</f>
        <v>76.662269319999993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97</v>
      </c>
      <c r="C62" s="274"/>
      <c r="D62" s="274"/>
      <c r="E62" s="274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106</v>
      </c>
      <c r="C63" s="274"/>
      <c r="D63" s="274"/>
      <c r="E63" s="274"/>
      <c r="F63" s="195"/>
      <c r="G63" s="196">
        <f>G46</f>
        <v>211.48127167281467</v>
      </c>
      <c r="H63" s="140"/>
      <c r="I63" s="140"/>
      <c r="J63" s="196">
        <f>J46</f>
        <v>211.48127167281467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115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114</v>
      </c>
      <c r="C65" s="269"/>
      <c r="D65" s="269"/>
      <c r="E65" s="269"/>
      <c r="F65" s="270"/>
      <c r="G65" s="67">
        <f>SUM(G57:G64)</f>
        <v>3324.1858910968149</v>
      </c>
      <c r="H65" s="140"/>
      <c r="I65" s="140"/>
      <c r="J65" s="67">
        <f>SUM(J57:J64)</f>
        <v>3314.9935609194813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717.72195375953947</v>
      </c>
      <c r="H67" s="140"/>
      <c r="I67" s="140"/>
      <c r="J67" s="65">
        <f>J65*Dados!E55</f>
        <v>715.73724610761519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1196.2032562658992</v>
      </c>
      <c r="H68" s="140"/>
      <c r="I68" s="140"/>
      <c r="J68" s="65">
        <f>J65*Dados!E57</f>
        <v>1192.8954101793586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170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07- LINHA 07- CERRO DA DATA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165</v>
      </c>
      <c r="C9" s="353"/>
      <c r="D9" s="353"/>
      <c r="E9" s="353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143</v>
      </c>
      <c r="C11" s="354"/>
      <c r="D11" s="354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5" t="s">
        <v>144</v>
      </c>
      <c r="C12" s="365"/>
      <c r="D12" s="365"/>
      <c r="E12" s="107">
        <f>(Dados!E75*Dados!E55)</f>
        <v>107.73863636363635</v>
      </c>
      <c r="F12" s="113"/>
      <c r="G12" s="111"/>
      <c r="H12" s="107">
        <f t="shared" ref="H12:H17" si="0">E12</f>
        <v>107.73863636363635</v>
      </c>
      <c r="I12" s="113"/>
      <c r="K12" s="108">
        <f t="shared" ref="K12:K17" si="1">E12</f>
        <v>107.73863636363635</v>
      </c>
      <c r="M12" s="61"/>
    </row>
    <row r="13" spans="2:13" x14ac:dyDescent="0.25">
      <c r="B13" s="365" t="s">
        <v>145</v>
      </c>
      <c r="C13" s="365"/>
      <c r="D13" s="365"/>
      <c r="E13" s="107">
        <f>Dados!E76*Dados!E55</f>
        <v>70.927935606060615</v>
      </c>
      <c r="F13" s="113"/>
      <c r="G13" s="111"/>
      <c r="H13" s="107">
        <f t="shared" si="0"/>
        <v>70.927935606060615</v>
      </c>
      <c r="I13" s="113"/>
      <c r="K13" s="108">
        <f t="shared" si="1"/>
        <v>70.927935606060615</v>
      </c>
      <c r="M13" s="61"/>
    </row>
    <row r="14" spans="2:13" x14ac:dyDescent="0.25">
      <c r="B14" s="365" t="s">
        <v>146</v>
      </c>
      <c r="C14" s="365"/>
      <c r="D14" s="365"/>
      <c r="E14" s="107">
        <f>(((Dados!E23*1)/Dados!E65)*Dados!E74)*Dados!E11</f>
        <v>1553.8833333333332</v>
      </c>
      <c r="F14" s="113"/>
      <c r="G14" s="111"/>
      <c r="H14" s="107">
        <f t="shared" si="0"/>
        <v>1553.8833333333332</v>
      </c>
      <c r="I14" s="113"/>
      <c r="K14" s="108">
        <f t="shared" si="1"/>
        <v>1553.8833333333332</v>
      </c>
    </row>
    <row r="15" spans="2:13" x14ac:dyDescent="0.25">
      <c r="B15" s="365" t="s">
        <v>47</v>
      </c>
      <c r="C15" s="365"/>
      <c r="D15" s="365"/>
      <c r="E15" s="107">
        <f>E14*Dados!E83</f>
        <v>155.38833333333332</v>
      </c>
      <c r="F15" s="113"/>
      <c r="G15" s="111"/>
      <c r="H15" s="107">
        <f t="shared" si="0"/>
        <v>155.38833333333332</v>
      </c>
      <c r="I15" s="113"/>
      <c r="K15" s="108">
        <f t="shared" si="1"/>
        <v>155.38833333333332</v>
      </c>
    </row>
    <row r="16" spans="2:13" x14ac:dyDescent="0.25">
      <c r="B16" s="365" t="s">
        <v>147</v>
      </c>
      <c r="C16" s="365"/>
      <c r="D16" s="365"/>
      <c r="E16" s="107">
        <f>E14*Dados!E83</f>
        <v>155.38833333333332</v>
      </c>
      <c r="F16" s="113"/>
      <c r="G16" s="111"/>
      <c r="H16" s="107">
        <f t="shared" si="0"/>
        <v>155.38833333333332</v>
      </c>
      <c r="I16" s="113"/>
      <c r="K16" s="108">
        <f t="shared" si="1"/>
        <v>155.38833333333332</v>
      </c>
    </row>
    <row r="17" spans="2:11" x14ac:dyDescent="0.25">
      <c r="B17" s="365" t="s">
        <v>51</v>
      </c>
      <c r="C17" s="365"/>
      <c r="D17" s="365"/>
      <c r="E17" s="107">
        <f>(((Dados!E91*Dados!C91)/Dados!D91)*Dados!E24)</f>
        <v>84.228899999999996</v>
      </c>
      <c r="F17" s="113"/>
      <c r="G17" s="111"/>
      <c r="H17" s="107">
        <f t="shared" si="0"/>
        <v>84.228899999999996</v>
      </c>
      <c r="I17" s="113"/>
      <c r="K17" s="108">
        <f t="shared" si="1"/>
        <v>84.228899999999996</v>
      </c>
    </row>
    <row r="18" spans="2:11" x14ac:dyDescent="0.25">
      <c r="B18" s="359" t="s">
        <v>95</v>
      </c>
      <c r="C18" s="359"/>
      <c r="D18" s="359"/>
      <c r="E18" s="106">
        <f>SUM(E12:E17)</f>
        <v>2127.555471969697</v>
      </c>
      <c r="F18" s="115"/>
      <c r="G18" s="111"/>
      <c r="H18" s="106">
        <f>SUM(H12:H17)</f>
        <v>2127.555471969697</v>
      </c>
      <c r="I18" s="115"/>
      <c r="K18" s="109">
        <f>SUM(K12:K17)</f>
        <v>2127.555471969697</v>
      </c>
    </row>
    <row r="19" spans="2:11" x14ac:dyDescent="0.25">
      <c r="B19" s="366" t="s">
        <v>148</v>
      </c>
      <c r="C19" s="366"/>
      <c r="D19" s="366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7" t="s">
        <v>149</v>
      </c>
      <c r="C20" s="367"/>
      <c r="D20" s="367"/>
      <c r="E20" s="107">
        <f>Motorista!G67</f>
        <v>717.72195375953947</v>
      </c>
      <c r="F20" s="113"/>
      <c r="G20" s="111"/>
      <c r="H20" s="50">
        <f>E20</f>
        <v>717.72195375953947</v>
      </c>
      <c r="I20" s="121"/>
      <c r="K20" s="50">
        <f>Motorista!J67</f>
        <v>715.73724610761519</v>
      </c>
    </row>
    <row r="21" spans="2:11" x14ac:dyDescent="0.25">
      <c r="B21" s="358" t="s">
        <v>95</v>
      </c>
      <c r="C21" s="358"/>
      <c r="D21" s="358"/>
      <c r="E21" s="106">
        <f>SUM(E20:E20)</f>
        <v>717.72195375953947</v>
      </c>
      <c r="F21" s="115"/>
      <c r="G21" s="111"/>
      <c r="H21" s="68">
        <f>SUM(H20:H20)</f>
        <v>717.72195375953947</v>
      </c>
      <c r="I21" s="122"/>
      <c r="K21" s="68">
        <f>SUM(K20:K20)</f>
        <v>715.73724610761519</v>
      </c>
    </row>
    <row r="22" spans="2:11" x14ac:dyDescent="0.25">
      <c r="B22" s="354" t="s">
        <v>70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174</v>
      </c>
      <c r="C23" s="371"/>
      <c r="D23" s="371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5" t="s">
        <v>36</v>
      </c>
      <c r="C24" s="365"/>
      <c r="D24" s="365"/>
      <c r="E24" s="107">
        <f>(Dados!E69/12)*Dados!E55</f>
        <v>1.4393939393939392</v>
      </c>
      <c r="F24" s="113"/>
      <c r="G24" s="111"/>
      <c r="H24" s="108">
        <f t="shared" ref="H24:H29" si="2">E24</f>
        <v>1.4393939393939392</v>
      </c>
      <c r="I24" s="121"/>
      <c r="K24" s="108">
        <f t="shared" ref="K24:K29" si="3">E24</f>
        <v>1.4393939393939392</v>
      </c>
    </row>
    <row r="25" spans="2:11" x14ac:dyDescent="0.25">
      <c r="B25" s="365" t="s">
        <v>38</v>
      </c>
      <c r="C25" s="365"/>
      <c r="D25" s="365"/>
      <c r="E25" s="107">
        <f>(Dados!E71/12)*Dados!E55</f>
        <v>0.68191287878787865</v>
      </c>
      <c r="F25" s="113"/>
      <c r="G25" s="111"/>
      <c r="H25" s="108">
        <f t="shared" si="2"/>
        <v>0.68191287878787865</v>
      </c>
      <c r="I25" s="121"/>
      <c r="K25" s="108">
        <f t="shared" si="3"/>
        <v>0.68191287878787865</v>
      </c>
    </row>
    <row r="26" spans="2:11" x14ac:dyDescent="0.25">
      <c r="B26" s="365" t="s">
        <v>37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150</v>
      </c>
      <c r="C27" s="365"/>
      <c r="D27" s="365"/>
      <c r="E27" s="107">
        <f>(Dados!E72/12)*Dados!E55</f>
        <v>1.6392897727272726</v>
      </c>
      <c r="F27" s="113"/>
      <c r="G27" s="111"/>
      <c r="H27" s="108">
        <f t="shared" si="2"/>
        <v>1.6392897727272726</v>
      </c>
      <c r="I27" s="121"/>
      <c r="K27" s="108">
        <f t="shared" si="3"/>
        <v>1.6392897727272726</v>
      </c>
    </row>
    <row r="28" spans="2:11" x14ac:dyDescent="0.25">
      <c r="B28" s="365" t="s">
        <v>151</v>
      </c>
      <c r="C28" s="365"/>
      <c r="D28" s="365"/>
      <c r="E28" s="107">
        <f>(Dados!E73/12)*Dados!E55</f>
        <v>5.9374999999999991</v>
      </c>
      <c r="F28" s="113"/>
      <c r="G28" s="111"/>
      <c r="H28" s="108">
        <f t="shared" si="2"/>
        <v>5.9374999999999991</v>
      </c>
      <c r="I28" s="121"/>
      <c r="K28" s="108">
        <f t="shared" si="3"/>
        <v>5.9374999999999991</v>
      </c>
    </row>
    <row r="29" spans="2:11" x14ac:dyDescent="0.25">
      <c r="B29" s="365" t="s">
        <v>152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153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153</v>
      </c>
      <c r="C31" s="365"/>
      <c r="D31" s="365"/>
      <c r="E31" s="107">
        <f>((E18+E21)*Dados!E110)*Dados!E57</f>
        <v>51.193438531113152</v>
      </c>
      <c r="F31" s="113"/>
      <c r="G31" s="111"/>
      <c r="H31" s="108">
        <f>((E18+E21)*Dados!E110)*Dados!E57</f>
        <v>51.193438531113152</v>
      </c>
      <c r="I31" s="121"/>
      <c r="K31" s="108">
        <f>((K18+K21)*Dados!E110)*Dados!E55</f>
        <v>30.694637297425526</v>
      </c>
    </row>
    <row r="32" spans="2:11" x14ac:dyDescent="0.25">
      <c r="B32" s="358" t="s">
        <v>95</v>
      </c>
      <c r="C32" s="358"/>
      <c r="D32" s="358"/>
      <c r="E32" s="106">
        <f>SUM(E24:E31)</f>
        <v>60.891535122022241</v>
      </c>
      <c r="F32" s="115"/>
      <c r="G32" s="111"/>
      <c r="H32" s="109">
        <f>SUM(H24:H31)</f>
        <v>60.891535122022241</v>
      </c>
      <c r="I32" s="122"/>
      <c r="K32" s="109">
        <f>SUM(K24:K31)</f>
        <v>40.392733888334618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2"/>
      <c r="C34" s="363"/>
      <c r="D34" s="364"/>
      <c r="E34" s="114">
        <f>(E32+E21+E18)*Dados!E113</f>
        <v>435.92534412768879</v>
      </c>
      <c r="F34" s="113"/>
      <c r="G34" s="111"/>
      <c r="H34" s="108">
        <f>E34</f>
        <v>435.92534412768879</v>
      </c>
      <c r="I34" s="121"/>
      <c r="K34" s="108">
        <f>(K32+K21+K18)*Dados!E113</f>
        <v>432.55281779484699</v>
      </c>
    </row>
    <row r="35" spans="2:13" x14ac:dyDescent="0.25">
      <c r="B35" s="369" t="s">
        <v>95</v>
      </c>
      <c r="C35" s="369"/>
      <c r="D35" s="369"/>
      <c r="E35" s="106">
        <f>SUM(E34)</f>
        <v>435.92534412768879</v>
      </c>
      <c r="F35" s="115"/>
      <c r="G35" s="111"/>
      <c r="H35" s="109">
        <f>SUM(H34)</f>
        <v>435.92534412768879</v>
      </c>
      <c r="I35" s="122"/>
      <c r="K35" s="109">
        <f>SUM(K34)</f>
        <v>432.55281779484699</v>
      </c>
    </row>
    <row r="36" spans="2:13" x14ac:dyDescent="0.25">
      <c r="B36" s="358" t="s">
        <v>95</v>
      </c>
      <c r="C36" s="358"/>
      <c r="D36" s="358"/>
      <c r="E36" s="106">
        <f>E35+E32+E21+E18</f>
        <v>3342.0943049789475</v>
      </c>
      <c r="F36" s="115"/>
      <c r="G36" s="111"/>
      <c r="H36" s="109">
        <f>H35+H32+H21+H18</f>
        <v>3342.0943049789475</v>
      </c>
      <c r="I36" s="122"/>
      <c r="K36" s="109">
        <f>K35+K32+K21+K18</f>
        <v>3316.2382697604939</v>
      </c>
    </row>
    <row r="37" spans="2:13" x14ac:dyDescent="0.25">
      <c r="B37" s="360" t="s">
        <v>159</v>
      </c>
      <c r="C37" s="360"/>
      <c r="D37" s="360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1" t="s">
        <v>154</v>
      </c>
      <c r="C38" s="361"/>
      <c r="D38" s="361"/>
      <c r="E38" s="107">
        <f>E36/((100-14.25)/100)</f>
        <v>3897.4860699462943</v>
      </c>
      <c r="F38" s="113"/>
      <c r="G38" s="107"/>
      <c r="H38" s="107">
        <f>H36/((100-8.65)/100)</f>
        <v>3658.5597208308131</v>
      </c>
      <c r="J38" s="18"/>
      <c r="K38" s="107">
        <f>K36/((100-7.99)/100)</f>
        <v>3604.2150524513572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296.20894131591837</v>
      </c>
      <c r="F39" s="113"/>
      <c r="G39" s="123">
        <f>Dados!D117</f>
        <v>0.03</v>
      </c>
      <c r="H39" s="107">
        <f>H38*G39</f>
        <v>109.75679162492439</v>
      </c>
      <c r="J39" s="59">
        <f>Dados!E117</f>
        <v>2.4199999999999999E-2</v>
      </c>
      <c r="K39" s="107">
        <f>K38*J39</f>
        <v>87.222004269322838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64.308520154113864</v>
      </c>
      <c r="F40" s="113"/>
      <c r="G40" s="123">
        <f>Dados!D118</f>
        <v>6.4999999999999997E-3</v>
      </c>
      <c r="H40" s="107">
        <f>H38*G40</f>
        <v>23.780638185400285</v>
      </c>
      <c r="J40" s="59">
        <f>Dados!E118</f>
        <v>5.7000000000000002E-3</v>
      </c>
      <c r="K40" s="107">
        <f>K38*J40</f>
        <v>20.544025798972736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194.87430349731471</v>
      </c>
      <c r="F41" s="113"/>
      <c r="G41" s="123">
        <f>Dados!D119</f>
        <v>0.05</v>
      </c>
      <c r="H41" s="107">
        <f>H38*G41</f>
        <v>182.92798604154066</v>
      </c>
      <c r="J41" s="125">
        <f>Dados!E119</f>
        <v>0.05</v>
      </c>
      <c r="K41" s="107">
        <f>K38*J41</f>
        <v>180.21075262256787</v>
      </c>
    </row>
    <row r="42" spans="2:13" x14ac:dyDescent="0.25">
      <c r="B42" s="368" t="s">
        <v>158</v>
      </c>
      <c r="C42" s="368"/>
      <c r="D42" s="368"/>
      <c r="E42" s="106">
        <f>SUM(E39:E41)</f>
        <v>555.39176496734694</v>
      </c>
      <c r="F42" s="115"/>
      <c r="G42" s="124">
        <f>SUM(G39:G41)</f>
        <v>8.6499999999999994E-2</v>
      </c>
      <c r="H42" s="109">
        <f>SUM(H39:H41)</f>
        <v>316.46541585186537</v>
      </c>
      <c r="I42" s="77"/>
      <c r="J42" s="126">
        <f>SUM(J39:J41)</f>
        <v>7.9899999999999999E-2</v>
      </c>
      <c r="K42" s="106">
        <f>SUM(K39:K41)</f>
        <v>287.97678269086344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7" t="s">
        <v>114</v>
      </c>
      <c r="C44" s="357"/>
      <c r="D44" s="357"/>
      <c r="E44" s="68">
        <f>E42+E36</f>
        <v>3897.4860699462943</v>
      </c>
      <c r="F44" s="119"/>
      <c r="H44" s="109">
        <f>H36+H42</f>
        <v>3658.5597208308127</v>
      </c>
      <c r="I44" s="77"/>
      <c r="J44" s="77"/>
      <c r="K44" s="109">
        <f>K42+K36</f>
        <v>3604.2150524513572</v>
      </c>
    </row>
    <row r="45" spans="2:13" x14ac:dyDescent="0.25">
      <c r="B45" s="6"/>
      <c r="C45" s="6"/>
      <c r="D45" s="22" t="s">
        <v>166</v>
      </c>
      <c r="E45" s="68">
        <f>E44/Dados!E24</f>
        <v>2.9304406540949581</v>
      </c>
      <c r="F45" s="119"/>
      <c r="H45" s="109">
        <f>H44/Dados!E24</f>
        <v>2.7507967825795583</v>
      </c>
      <c r="K45" s="109">
        <f>K44/Dados!E24</f>
        <v>2.7099361296626747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vuOLP+bBlDAW8MvsUQYFwaxm2s3HsdVQ0A6Mhz9LTLnwGWXtTWcCo8j1QGPprrcbrhWxPj6sSRVxMvsszb8amA==" saltValue="27wytaCv+GIVSQq2FsdIMA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2022-07-11T13:41:27Z</dcterms:modified>
</cp:coreProperties>
</file>