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BB957AAA-B25C-4EBC-A62A-88D04430FE51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E14" i="4" l="1"/>
  <c r="E16" i="4" s="1"/>
  <c r="G11" i="3"/>
  <c r="E51" i="1"/>
  <c r="D45" i="1"/>
  <c r="D36" i="1"/>
  <c r="D39" i="1" s="1"/>
  <c r="C45" i="1"/>
  <c r="E45" i="1" l="1"/>
  <c r="E15" i="4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<sst xmlns="http://schemas.openxmlformats.org/spreadsheetml/2006/main" count="286" uniqueCount="192">
  <si>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</si>
  <si>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</si>
  <si>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</si>
  <si>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</si>
  <si>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</si>
  <si>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</si>
  <si>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</si>
  <si>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</si>
  <si>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</si>
  <si>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</si>
  <si>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</si>
  <si>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</si>
  <si>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</si>
  <si>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</si>
  <si>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</si>
  <si>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</si>
  <si>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</si>
  <si>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</si>
  <si>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</si>
  <si>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</si>
  <si>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</si>
  <si>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</si>
  <si>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</si>
  <si>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</si>
  <si>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</si>
  <si>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</si>
  <si>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</si>
  <si>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</si>
  <si>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</si>
  <si>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</si>
  <si>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</si>
  <si>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</si>
  <si>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</si>
  <si>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</si>
  <si>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</si>
  <si>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</si>
  <si>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</si>
  <si>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</si>
  <si>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</si>
  <si>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</si>
  <si>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</si>
  <si>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</si>
  <si>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</si>
  <si>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</si>
  <si>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</si>
  <si>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</si>
  <si>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</si>
  <si>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</si>
  <si>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</si>
  <si>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</si>
  <si>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</si>
  <si>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</si>
  <si>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</si>
  <si>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</si>
  <si>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</si>
  <si>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</si>
  <si>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</si>
  <si>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</si>
  <si>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</si>
  <si>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</si>
  <si>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</si>
  <si>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</si>
  <si>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</si>
  <si>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</si>
  <si>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</si>
  <si>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</si>
  <si>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</si>
  <si>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</si>
  <si>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</si>
  <si>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</si>
  <si>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</si>
  <si>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</si>
  <si>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</si>
  <si>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</si>
  <si>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</si>
  <si>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</si>
  <si>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</si>
  <si>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</si>
  <si>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</si>
  <si>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</si>
  <si>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</si>
  <si>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</si>
  <si>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</si>
  <si>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</si>
  <si>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</si>
  <si>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</si>
  <si>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</si>
  <si>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</si>
  <si>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</si>
  <si>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</si>
  <si>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</si>
  <si>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</si>
  <si>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</si>
  <si>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</si>
  <si>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</si>
  <si>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</si>
  <si>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</si>
  <si>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</si>
  <si>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</si>
  <si>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</si>
  <si>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</si>
  <si>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</si>
  <si>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</si>
  <si>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</si>
  <si>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</si>
  <si>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</si>
  <si>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</si>
  <si>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</si>
  <si>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</si>
  <si>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</si>
  <si>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</si>
  <si>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</si>
  <si>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</si>
  <si>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</si>
  <si>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</si>
  <si>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</si>
  <si>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</si>
  <si>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</si>
  <si>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</si>
  <si>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</si>
  <si>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</si>
  <si>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</si>
  <si>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</si>
  <si>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</si>
  <si>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</si>
  <si>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</si>
  <si>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</si>
  <si>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</si>
  <si>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</si>
  <si>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</si>
  <si>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</si>
  <si>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</si>
  <si>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</si>
  <si>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</si>
  <si>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</si>
  <si>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</si>
  <si>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</si>
  <si>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</si>
  <si>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</si>
  <si>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</si>
  <si>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</si>
  <si>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</si>
  <si>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</si>
  <si>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</si>
  <si>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</si>
  <si>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</si>
  <si>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</si>
  <si>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</si>
  <si>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</si>
  <si>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</si>
  <si>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</si>
  <si>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</si>
  <si>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</si>
  <si>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</si>
  <si>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</si>
  <si>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</si>
  <si>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</si>
  <si>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</si>
  <si>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</si>
  <si>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</si>
  <si>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</si>
  <si>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</si>
  <si>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</si>
  <si>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</si>
  <si>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</si>
  <si>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</si>
  <si>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</si>
  <si>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</si>
  <si>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</si>
  <si>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</si>
  <si>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</si>
  <si>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</si>
  <si>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</si>
  <si>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</si>
  <si>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</si>
  <si>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</si>
  <si>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</si>
  <si>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</si>
  <si>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</si>
  <si>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</si>
  <si>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</si>
  <si>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</si>
  <si>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</si>
  <si>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</si>
  <si>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</si>
  <si>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</si>
  <si>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</si>
  <si>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 xml:space="preserve">Manhã </t>
  </si>
  <si>
    <t>DADOS DA CONTRATAÇÃO: LINHA 03</t>
  </si>
  <si>
    <t>ITEM 03- LINHA 03- LEOZÉ</t>
  </si>
  <si>
    <t>MICRO</t>
  </si>
  <si>
    <t>DIESEL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</si>
</sst>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3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175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176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188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178</v>
      </c>
      <c r="E14" s="228"/>
    </row>
    <row r="15" spans="2:9" x14ac:dyDescent="0.25">
      <c r="B15" s="229" t="s">
        <v>187</v>
      </c>
      <c r="C15" s="229"/>
      <c r="D15" s="230">
        <v>29</v>
      </c>
      <c r="E15" s="230"/>
    </row>
    <row r="17" spans="1:9" ht="15.75" customHeight="1" x14ac:dyDescent="0.25">
      <c r="B17" s="218" t="s">
        <v>185</v>
      </c>
      <c r="C17" s="219"/>
      <c r="D17" s="1"/>
      <c r="E17" s="2"/>
    </row>
    <row r="18" spans="1:9" ht="15" customHeight="1" x14ac:dyDescent="0.25">
      <c r="B18" s="224" t="s">
        <v>189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184</v>
      </c>
      <c r="D22" s="128" t="s">
        <v>179</v>
      </c>
      <c r="E22" s="34" t="s">
        <v>9</v>
      </c>
    </row>
    <row r="23" spans="1:9" x14ac:dyDescent="0.25">
      <c r="B23" s="49" t="s">
        <v>55</v>
      </c>
      <c r="C23" s="105">
        <v>32.5</v>
      </c>
      <c r="D23" s="51">
        <v>32.5</v>
      </c>
      <c r="E23" s="51">
        <v>65</v>
      </c>
    </row>
    <row r="24" spans="1:9" x14ac:dyDescent="0.25">
      <c r="B24" s="13" t="s">
        <v>24</v>
      </c>
      <c r="C24" s="105">
        <f>C23*E11</f>
        <v>617.5</v>
      </c>
      <c r="D24" s="51">
        <f>D23*E11</f>
        <v>617.5</v>
      </c>
      <c r="E24" s="51">
        <f>C24+D24</f>
        <v>1235</v>
      </c>
    </row>
    <row r="25" spans="1:9" x14ac:dyDescent="0.25">
      <c r="B25" s="13" t="s">
        <v>56</v>
      </c>
      <c r="C25" s="105">
        <f>C23*E9</f>
        <v>2990</v>
      </c>
      <c r="D25" s="51">
        <f>D23*E9</f>
        <v>2990</v>
      </c>
      <c r="E25" s="51">
        <f>C25+D25</f>
        <v>5980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0.45833333333333331</v>
      </c>
      <c r="D29" s="14">
        <v>0.54166666666666663</v>
      </c>
      <c r="E29" s="14">
        <f>D29-C29</f>
        <v>8.3333333333333315E-2</v>
      </c>
    </row>
    <row r="30" spans="1:9" x14ac:dyDescent="0.25">
      <c r="B30" s="13" t="s">
        <v>15</v>
      </c>
      <c r="C30" s="14">
        <v>0.70833333333333337</v>
      </c>
      <c r="D30" s="14">
        <v>0.79166666666666663</v>
      </c>
      <c r="E30" s="14">
        <f>D30-C30</f>
        <v>8.3333333333333259E-2</v>
      </c>
    </row>
    <row r="31" spans="1:9" x14ac:dyDescent="0.25">
      <c r="B31" s="204" t="s">
        <v>180</v>
      </c>
      <c r="C31" s="205">
        <v>0</v>
      </c>
      <c r="D31" s="206">
        <v>0</v>
      </c>
      <c r="E31" s="14">
        <v>0</v>
      </c>
    </row>
    <row r="32" spans="1:9" x14ac:dyDescent="0.25">
      <c r="B32" s="220" t="s">
        <v>9</v>
      </c>
      <c r="C32" s="221"/>
      <c r="D32" s="222"/>
      <c r="E32" s="15">
        <f>SUM(E29:E31)</f>
        <v>0.16666666666666657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8.3333333333333315E-2</v>
      </c>
      <c r="D36" s="20">
        <f>(C30-D29)-D106</f>
        <v>6.2500000000000069E-2</v>
      </c>
      <c r="E36" s="19">
        <f>C36+D36</f>
        <v>0.14583333333333337</v>
      </c>
    </row>
    <row r="37" spans="2:9" x14ac:dyDescent="0.25">
      <c r="B37" s="18" t="str">
        <f>B30</f>
        <v>Rota 2</v>
      </c>
      <c r="C37" s="20">
        <f>D30-C30</f>
        <v>8.3333333333333259E-2</v>
      </c>
      <c r="D37" s="19">
        <v>0</v>
      </c>
      <c r="E37" s="19">
        <f>C37+D37</f>
        <v>8.3333333333333259E-2</v>
      </c>
    </row>
    <row r="38" spans="2:9" x14ac:dyDescent="0.25">
      <c r="B38" s="18" t="s">
        <v>180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0.16666666666666657</v>
      </c>
      <c r="D39" s="208">
        <f>SUM(D36:D38)</f>
        <v>6.2500000000000069E-2</v>
      </c>
      <c r="E39" s="21">
        <f>SUM(E36:E38)</f>
        <v>0.22916666666666663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1.9999999999999996</v>
      </c>
      <c r="D43" s="24">
        <f>D36*24</f>
        <v>1.5000000000000018</v>
      </c>
      <c r="E43" s="57">
        <f>C43+D43</f>
        <v>3.5000000000000013</v>
      </c>
    </row>
    <row r="44" spans="2:9" x14ac:dyDescent="0.25">
      <c r="B44" s="18" t="str">
        <f>B37</f>
        <v>Rota 2</v>
      </c>
      <c r="C44" s="57">
        <f>E30*24</f>
        <v>1.9999999999999982</v>
      </c>
      <c r="D44" s="19">
        <f>D37*24</f>
        <v>0</v>
      </c>
      <c r="E44" s="57">
        <f>C44+D44</f>
        <v>1.9999999999999982</v>
      </c>
    </row>
    <row r="45" spans="2:9" x14ac:dyDescent="0.25">
      <c r="B45" s="18" t="s">
        <v>180</v>
      </c>
      <c r="C45" s="57">
        <f>C38*24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9">
        <f>SUM(C43:C45)</f>
        <v>3.9999999999999978</v>
      </c>
      <c r="D46" s="209">
        <f>SUM(D43:D45)</f>
        <v>1.5000000000000018</v>
      </c>
      <c r="E46" s="209">
        <f>SUM(E43:E45)</f>
        <v>5.5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75.999999999999957</v>
      </c>
      <c r="D50" s="26">
        <f>(D43+D45)*E11</f>
        <v>28.500000000000036</v>
      </c>
      <c r="E50" s="27">
        <f>C50+D50</f>
        <v>104.5</v>
      </c>
    </row>
    <row r="51" spans="2:10" x14ac:dyDescent="0.25">
      <c r="B51" s="214" t="s">
        <v>171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172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0.34545454545454524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0.12954545454545471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0.47499999999999998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190</v>
      </c>
    </row>
    <row r="62" spans="2:10" x14ac:dyDescent="0.25">
      <c r="B62" s="214" t="s">
        <v>29</v>
      </c>
      <c r="C62" s="215"/>
      <c r="D62" s="216"/>
      <c r="E62" s="35">
        <f>D15</f>
        <v>29</v>
      </c>
    </row>
    <row r="63" spans="2:10" x14ac:dyDescent="0.25">
      <c r="B63" s="214" t="s">
        <v>30</v>
      </c>
      <c r="C63" s="215"/>
      <c r="D63" s="216"/>
      <c r="E63" s="35" t="s">
        <v>191</v>
      </c>
    </row>
    <row r="64" spans="2:10" x14ac:dyDescent="0.25">
      <c r="B64" s="214" t="s">
        <v>31</v>
      </c>
      <c r="C64" s="215"/>
      <c r="D64" s="216"/>
      <c r="E64" s="35">
        <v>2022</v>
      </c>
    </row>
    <row r="65" spans="2:9" x14ac:dyDescent="0.25">
      <c r="B65" s="36" t="s">
        <v>32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42</v>
      </c>
      <c r="C67" s="241"/>
      <c r="D67" s="241"/>
      <c r="E67" s="242"/>
    </row>
    <row r="68" spans="2:9" x14ac:dyDescent="0.25">
      <c r="B68" s="13" t="s">
        <v>35</v>
      </c>
      <c r="C68" s="40"/>
      <c r="D68" s="41">
        <v>1</v>
      </c>
      <c r="E68" s="42">
        <v>437500</v>
      </c>
    </row>
    <row r="69" spans="2:9" x14ac:dyDescent="0.25">
      <c r="B69" s="214" t="s">
        <v>36</v>
      </c>
      <c r="C69" s="215"/>
      <c r="D69" s="43">
        <v>1</v>
      </c>
      <c r="E69" s="27">
        <v>80</v>
      </c>
    </row>
    <row r="70" spans="2:9" x14ac:dyDescent="0.25">
      <c r="B70" s="214" t="s">
        <v>37</v>
      </c>
      <c r="C70" s="215"/>
      <c r="D70" s="43">
        <v>1</v>
      </c>
      <c r="E70" s="27" t="s">
        <v>44</v>
      </c>
    </row>
    <row r="71" spans="2:9" x14ac:dyDescent="0.25">
      <c r="B71" s="214" t="s">
        <v>38</v>
      </c>
      <c r="C71" s="215"/>
      <c r="D71" s="43">
        <v>1</v>
      </c>
      <c r="E71" s="27">
        <v>37.9</v>
      </c>
    </row>
    <row r="72" spans="2:9" x14ac:dyDescent="0.25">
      <c r="B72" s="246" t="s">
        <v>39</v>
      </c>
      <c r="C72" s="246"/>
      <c r="D72" s="43">
        <v>2</v>
      </c>
      <c r="E72" s="28">
        <v>141.16</v>
      </c>
    </row>
    <row r="73" spans="2:9" x14ac:dyDescent="0.25">
      <c r="B73" s="247" t="s">
        <v>40</v>
      </c>
      <c r="C73" s="248"/>
      <c r="D73" s="43">
        <v>1</v>
      </c>
      <c r="E73" s="27">
        <v>330</v>
      </c>
    </row>
    <row r="74" spans="2:9" x14ac:dyDescent="0.25">
      <c r="B74" s="244" t="s">
        <v>30</v>
      </c>
      <c r="C74" s="245"/>
      <c r="D74" s="43">
        <v>1</v>
      </c>
      <c r="E74" s="33">
        <v>7.61</v>
      </c>
    </row>
    <row r="75" spans="2:9" x14ac:dyDescent="0.25">
      <c r="B75" s="249" t="s">
        <v>163</v>
      </c>
      <c r="C75" s="249"/>
      <c r="D75" s="53">
        <v>0.15</v>
      </c>
      <c r="E75" s="42">
        <f>((E68-E78)*D75)/12</f>
        <v>4375</v>
      </c>
      <c r="I75" s="61"/>
    </row>
    <row r="76" spans="2:9" x14ac:dyDescent="0.25">
      <c r="B76" s="249" t="s">
        <v>164</v>
      </c>
      <c r="C76" s="249"/>
      <c r="D76" s="53">
        <v>0.1</v>
      </c>
      <c r="E76" s="42">
        <f>(((E68-E78)-E75)*D76)/12</f>
        <v>2880.2083333333335</v>
      </c>
      <c r="I76" s="61"/>
    </row>
    <row r="77" spans="2:9" x14ac:dyDescent="0.25">
      <c r="B77" s="244" t="s">
        <v>45</v>
      </c>
      <c r="C77" s="245"/>
      <c r="D77" s="53" t="s">
        <v>46</v>
      </c>
      <c r="E77" s="42">
        <v>17</v>
      </c>
    </row>
    <row r="78" spans="2:9" x14ac:dyDescent="0.25">
      <c r="B78" s="249" t="s">
        <v>41</v>
      </c>
      <c r="C78" s="249"/>
      <c r="D78" s="53">
        <v>0.2</v>
      </c>
      <c r="E78" s="42">
        <f>E68*D78</f>
        <v>87500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33</v>
      </c>
      <c r="C81" s="243"/>
      <c r="D81" s="243"/>
      <c r="E81" s="243"/>
    </row>
    <row r="82" spans="1:5" x14ac:dyDescent="0.25">
      <c r="A82" s="46"/>
      <c r="B82" s="250" t="s">
        <v>34</v>
      </c>
      <c r="C82" s="251"/>
      <c r="D82" s="251"/>
      <c r="E82" s="252"/>
    </row>
    <row r="83" spans="1:5" x14ac:dyDescent="0.25">
      <c r="B83" s="253" t="s">
        <v>48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47</v>
      </c>
      <c r="C85" s="243"/>
      <c r="D85" s="243"/>
      <c r="E85" s="243"/>
    </row>
    <row r="86" spans="1:5" x14ac:dyDescent="0.25">
      <c r="B86" s="250" t="s">
        <v>34</v>
      </c>
      <c r="C86" s="251"/>
      <c r="D86" s="251"/>
      <c r="E86" s="252"/>
    </row>
    <row r="87" spans="1:5" x14ac:dyDescent="0.25">
      <c r="B87" s="253" t="s">
        <v>48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51</v>
      </c>
      <c r="C89" s="262"/>
      <c r="D89" s="262"/>
      <c r="E89" s="26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1318.33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550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57</v>
      </c>
      <c r="C95" s="243"/>
      <c r="D95" s="243"/>
      <c r="E95" s="243"/>
    </row>
    <row r="96" spans="1:5" x14ac:dyDescent="0.25">
      <c r="B96" s="263" t="s">
        <v>58</v>
      </c>
      <c r="C96" s="263"/>
      <c r="D96" s="264" t="s">
        <v>186</v>
      </c>
      <c r="E96" s="264"/>
    </row>
    <row r="97" spans="2:5" x14ac:dyDescent="0.25">
      <c r="B97" s="72" t="s">
        <v>59</v>
      </c>
      <c r="C97" s="72"/>
      <c r="D97" s="265" t="s">
        <v>60</v>
      </c>
      <c r="E97" s="265"/>
    </row>
    <row r="98" spans="2:5" x14ac:dyDescent="0.25">
      <c r="B98" s="266" t="s">
        <v>61</v>
      </c>
      <c r="C98" s="266"/>
      <c r="D98" s="22"/>
      <c r="E98" s="23"/>
    </row>
    <row r="99" spans="2:5" x14ac:dyDescent="0.25">
      <c r="B99" s="253" t="s">
        <v>62</v>
      </c>
      <c r="C99" s="254"/>
      <c r="D99" s="255"/>
      <c r="E99" s="50">
        <v>1799.53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60" t="s">
        <v>64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63</v>
      </c>
      <c r="C102" s="260"/>
      <c r="D102" s="18">
        <v>0</v>
      </c>
      <c r="E102" s="59">
        <v>0.06</v>
      </c>
    </row>
    <row r="103" spans="2:5" x14ac:dyDescent="0.25">
      <c r="B103" s="260" t="s">
        <v>66</v>
      </c>
      <c r="C103" s="260"/>
      <c r="D103" s="18">
        <v>128.68</v>
      </c>
      <c r="E103" s="59">
        <v>0.2</v>
      </c>
    </row>
    <row r="104" spans="2:5" x14ac:dyDescent="0.25">
      <c r="B104" s="260" t="s">
        <v>67</v>
      </c>
      <c r="C104" s="260"/>
      <c r="D104" s="57">
        <v>0</v>
      </c>
      <c r="E104" s="21"/>
    </row>
    <row r="105" spans="2:5" x14ac:dyDescent="0.25">
      <c r="B105" s="260" t="s">
        <v>68</v>
      </c>
      <c r="C105" s="260"/>
      <c r="D105" s="58">
        <v>0</v>
      </c>
      <c r="E105" s="21"/>
    </row>
    <row r="106" spans="2:5" x14ac:dyDescent="0.25">
      <c r="B106" s="47" t="s">
        <v>181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70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73</v>
      </c>
    </row>
    <row r="110" spans="2:5" x14ac:dyDescent="0.25">
      <c r="B110" s="229" t="s">
        <v>183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4" t="s">
        <v>74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82:E82"/>
    <mergeCell ref="B99:D99"/>
    <mergeCell ref="B85:E85"/>
    <mergeCell ref="B83:D83"/>
    <mergeCell ref="B87:D87"/>
    <mergeCell ref="B86:E86"/>
    <mergeCell ref="B77:C77"/>
    <mergeCell ref="B81:E81"/>
    <mergeCell ref="B72:C72"/>
    <mergeCell ref="B73:C73"/>
    <mergeCell ref="B74:C74"/>
    <mergeCell ref="B75:C75"/>
    <mergeCell ref="B76:C76"/>
    <mergeCell ref="B78:C78"/>
    <mergeCell ref="B63:D63"/>
    <mergeCell ref="B64:D64"/>
    <mergeCell ref="B69:C69"/>
    <mergeCell ref="B70:C70"/>
    <mergeCell ref="B71:C71"/>
    <mergeCell ref="B67:E67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55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167</v>
      </c>
      <c r="E2" s="340"/>
      <c r="F2" s="340"/>
      <c r="G2" s="340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75</v>
      </c>
      <c r="C3" s="267"/>
      <c r="D3" s="267"/>
      <c r="E3" s="267"/>
      <c r="F3" s="267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62</v>
      </c>
      <c r="C4" s="278"/>
      <c r="D4" s="278"/>
      <c r="E4" s="279"/>
      <c r="F4" s="143"/>
      <c r="G4" s="144">
        <v>1799.53</v>
      </c>
      <c r="H4" s="140"/>
      <c r="I4" s="140"/>
      <c r="J4" s="144">
        <f>G4</f>
        <v>1799.53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77</v>
      </c>
      <c r="C6" s="281"/>
      <c r="D6" s="281"/>
      <c r="E6" s="282"/>
      <c r="F6" s="143"/>
      <c r="G6" s="67">
        <f>SUM(G4:G5)</f>
        <v>1799.53</v>
      </c>
      <c r="H6" s="140"/>
      <c r="I6" s="140"/>
      <c r="J6" s="67">
        <f>SUM(J4:J5)</f>
        <v>1799.53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78</v>
      </c>
      <c r="C8" s="267"/>
      <c r="D8" s="267"/>
      <c r="E8" s="267"/>
      <c r="F8" s="267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79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182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80</v>
      </c>
      <c r="C11" s="273"/>
      <c r="D11" s="273"/>
      <c r="E11" s="273"/>
      <c r="F11" s="146"/>
      <c r="G11" s="147">
        <f>(Dados!D103-(Dados!D103*20%))</f>
        <v>102.944</v>
      </c>
      <c r="H11" s="140"/>
      <c r="I11" s="140"/>
      <c r="J11" s="147">
        <f>G11</f>
        <v>102.944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81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82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83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440.00400000000002</v>
      </c>
      <c r="H15" s="140"/>
      <c r="I15" s="140"/>
      <c r="J15" s="150">
        <f>SUM(J9:J14)</f>
        <v>440.00400000000002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86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87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88</v>
      </c>
      <c r="C21" s="267"/>
      <c r="D21" s="267"/>
      <c r="E21" s="267"/>
      <c r="F21" s="267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89</v>
      </c>
      <c r="C22" s="310"/>
      <c r="D22" s="310"/>
      <c r="E22" s="310"/>
      <c r="F22" s="143"/>
      <c r="G22" s="151">
        <f>G6/12</f>
        <v>149.96083333333334</v>
      </c>
      <c r="H22" s="140"/>
      <c r="I22" s="140"/>
      <c r="J22" s="151">
        <f>J6/12</f>
        <v>149.96083333333334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90</v>
      </c>
      <c r="C23" s="309"/>
      <c r="D23" s="309"/>
      <c r="E23" s="309"/>
      <c r="F23" s="309"/>
      <c r="G23" s="79">
        <f>SUM(G22)</f>
        <v>149.96083333333334</v>
      </c>
      <c r="H23" s="140"/>
      <c r="I23" s="140"/>
      <c r="J23" s="79">
        <f>SUM(J22)</f>
        <v>149.96083333333334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96</v>
      </c>
      <c r="C25" s="267"/>
      <c r="D25" s="267"/>
      <c r="E25" s="267"/>
      <c r="F25" s="267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116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100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97</v>
      </c>
      <c r="C29" s="267"/>
      <c r="D29" s="267"/>
      <c r="E29" s="267"/>
      <c r="F29" s="267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91</v>
      </c>
      <c r="C30" s="329"/>
      <c r="D30" s="330"/>
      <c r="E30" s="324">
        <v>0.2</v>
      </c>
      <c r="F30" s="325"/>
      <c r="G30" s="143">
        <f>G6*E30</f>
        <v>359.90600000000001</v>
      </c>
      <c r="H30" s="140"/>
      <c r="I30" s="160">
        <f>E30</f>
        <v>0.2</v>
      </c>
      <c r="J30" s="143">
        <f>G30</f>
        <v>359.90600000000001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92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93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177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94</v>
      </c>
      <c r="C34" s="314"/>
      <c r="D34" s="315"/>
      <c r="E34" s="311">
        <v>0.08</v>
      </c>
      <c r="F34" s="312"/>
      <c r="G34" s="151">
        <f>G6*E34</f>
        <v>143.9624</v>
      </c>
      <c r="H34" s="140"/>
      <c r="I34" s="160">
        <f>E34</f>
        <v>0.08</v>
      </c>
      <c r="J34" s="151">
        <f>G34</f>
        <v>143.9624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95</v>
      </c>
      <c r="C35" s="316"/>
      <c r="D35" s="316"/>
      <c r="E35" s="317">
        <f>SUM(E30:E34)</f>
        <v>0.36800000000000005</v>
      </c>
      <c r="F35" s="318"/>
      <c r="G35" s="151">
        <f>SUM(G30:G34)</f>
        <v>503.86840000000001</v>
      </c>
      <c r="H35" s="140"/>
      <c r="I35" s="161">
        <f>SUM(I30:I34)</f>
        <v>0.31</v>
      </c>
      <c r="J35" s="162">
        <f>SUM(J30:J34)</f>
        <v>503.86840000000001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98</v>
      </c>
      <c r="C36" s="319"/>
      <c r="D36" s="319"/>
      <c r="E36" s="319"/>
      <c r="F36" s="320"/>
      <c r="G36" s="151">
        <f>G23*E35</f>
        <v>55.18558666666668</v>
      </c>
      <c r="H36" s="140"/>
      <c r="I36" s="140"/>
      <c r="J36" s="151">
        <f>J23*I35</f>
        <v>46.487858333333335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99</v>
      </c>
      <c r="C37" s="321"/>
      <c r="D37" s="321"/>
      <c r="E37" s="321"/>
      <c r="F37" s="321"/>
      <c r="G37" s="79">
        <f>SUM(G34:G36)</f>
        <v>703.01638666666668</v>
      </c>
      <c r="H37" s="140"/>
      <c r="I37" s="140"/>
      <c r="J37" s="79">
        <f>SUM(J34:J36)</f>
        <v>694.31865833333325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106</v>
      </c>
      <c r="C39" s="267"/>
      <c r="D39" s="267"/>
      <c r="E39" s="267"/>
      <c r="F39" s="267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333">
        <f>G6+G22+O25</f>
        <v>1949.4908333333333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101</v>
      </c>
      <c r="C40" s="284"/>
      <c r="D40" s="284"/>
      <c r="E40" s="78"/>
      <c r="F40" s="143"/>
      <c r="G40" s="151">
        <f>T44</f>
        <v>26.716614835898518</v>
      </c>
      <c r="H40" s="140"/>
      <c r="I40" s="140"/>
      <c r="J40" s="151">
        <f>G40</f>
        <v>26.716614835898518</v>
      </c>
      <c r="K40" s="140"/>
      <c r="L40" s="140"/>
      <c r="M40" s="165" t="s">
        <v>127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102</v>
      </c>
      <c r="C41" s="284"/>
      <c r="D41" s="284"/>
      <c r="E41" s="78"/>
      <c r="F41" s="166">
        <f>E34</f>
        <v>0.08</v>
      </c>
      <c r="G41" s="151">
        <f>G40*F41</f>
        <v>2.1373291868718813</v>
      </c>
      <c r="H41" s="140"/>
      <c r="I41" s="140"/>
      <c r="J41" s="151">
        <f>G41</f>
        <v>2.1373291868718813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103</v>
      </c>
      <c r="C42" s="284"/>
      <c r="D42" s="284"/>
      <c r="E42" s="78"/>
      <c r="F42" s="143"/>
      <c r="G42" s="151">
        <f>R49</f>
        <v>50.686761666666669</v>
      </c>
      <c r="H42" s="140"/>
      <c r="I42" s="140"/>
      <c r="J42" s="151">
        <f>G42</f>
        <v>50.686761666666669</v>
      </c>
      <c r="K42" s="140"/>
      <c r="L42" s="140"/>
      <c r="M42" s="333" t="s">
        <v>118</v>
      </c>
      <c r="N42" s="333" t="s">
        <v>119</v>
      </c>
      <c r="O42" s="333" t="s">
        <v>120</v>
      </c>
      <c r="P42" s="335" t="s">
        <v>126</v>
      </c>
      <c r="Q42" s="335" t="s">
        <v>122</v>
      </c>
      <c r="R42" s="306" t="s">
        <v>123</v>
      </c>
      <c r="S42" s="306" t="s">
        <v>124</v>
      </c>
      <c r="T42" s="306" t="s">
        <v>125</v>
      </c>
      <c r="U42" s="170"/>
      <c r="V42" s="170"/>
      <c r="W42" s="170"/>
      <c r="X42" s="170"/>
    </row>
    <row r="43" spans="2:24" ht="22.5" customHeight="1" x14ac:dyDescent="0.25">
      <c r="B43" s="284" t="s">
        <v>104</v>
      </c>
      <c r="C43" s="284"/>
      <c r="D43" s="284"/>
      <c r="E43" s="78"/>
      <c r="F43" s="143"/>
      <c r="G43" s="151">
        <f>T57</f>
        <v>40.408111596036264</v>
      </c>
      <c r="H43" s="140"/>
      <c r="I43" s="140"/>
      <c r="J43" s="151">
        <f>T58</f>
        <v>40.408111596036264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111</v>
      </c>
      <c r="C44" s="350"/>
      <c r="D44" s="350"/>
      <c r="E44" s="350"/>
      <c r="F44" s="350"/>
      <c r="G44" s="151">
        <f>G43*E35</f>
        <v>14.870185067341348</v>
      </c>
      <c r="H44" s="140"/>
      <c r="I44" s="140"/>
      <c r="J44" s="151">
        <f>G44</f>
        <v>14.870185067341348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2534.3380833333335</v>
      </c>
      <c r="Q44" s="86">
        <v>47.43</v>
      </c>
      <c r="R44" s="171">
        <f>P44/Q44</f>
        <v>53.433229671797037</v>
      </c>
      <c r="S44" s="87">
        <v>0.5</v>
      </c>
      <c r="T44" s="88">
        <f>R44*S44</f>
        <v>26.716614835898518</v>
      </c>
      <c r="U44" s="140"/>
      <c r="V44" s="140"/>
      <c r="W44" s="140"/>
      <c r="X44" s="140"/>
    </row>
    <row r="45" spans="2:24" ht="15.75" customHeight="1" x14ac:dyDescent="0.25">
      <c r="B45" s="284" t="s">
        <v>105</v>
      </c>
      <c r="C45" s="284"/>
      <c r="D45" s="284"/>
      <c r="E45" s="78"/>
      <c r="F45" s="143"/>
      <c r="G45" s="151">
        <f>R61</f>
        <v>76.662269319999993</v>
      </c>
      <c r="H45" s="140"/>
      <c r="I45" s="140"/>
      <c r="J45" s="151">
        <f>G45</f>
        <v>76.662269319999993</v>
      </c>
      <c r="K45" s="140"/>
      <c r="L45" s="140"/>
      <c r="M45" s="168"/>
      <c r="N45" s="168"/>
      <c r="O45" s="168"/>
      <c r="P45" s="168"/>
      <c r="Q45" s="332" t="s">
        <v>117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211.48127167281467</v>
      </c>
      <c r="H46" s="140"/>
      <c r="I46" s="140"/>
      <c r="J46" s="79">
        <f>SUM(J40:J45)</f>
        <v>211.48127167281467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109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139</v>
      </c>
      <c r="C49" s="289"/>
      <c r="D49" s="289"/>
      <c r="E49" s="289"/>
      <c r="F49" s="290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2534.3380833333335</v>
      </c>
      <c r="N49" s="177">
        <v>0.5</v>
      </c>
      <c r="O49" s="177">
        <v>0.08</v>
      </c>
      <c r="P49" s="178">
        <f>M49*N49*O49</f>
        <v>101.37352333333334</v>
      </c>
      <c r="Q49" s="87">
        <v>0.5</v>
      </c>
      <c r="R49" s="179">
        <f>P49*Q49</f>
        <v>50.686761666666669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108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132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173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112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110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133</v>
      </c>
      <c r="N54" s="295"/>
      <c r="O54" s="295"/>
      <c r="P54" s="296"/>
      <c r="Q54" s="183" t="s">
        <v>128</v>
      </c>
      <c r="R54" s="184">
        <f>G6+G15+G22+O25+G30+G31+G32+G33+G36+G34</f>
        <v>2948.54882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113</v>
      </c>
      <c r="C56" s="301"/>
      <c r="D56" s="301"/>
      <c r="E56" s="301"/>
      <c r="F56" s="302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4" t="s">
        <v>75</v>
      </c>
      <c r="C57" s="284"/>
      <c r="D57" s="284"/>
      <c r="E57" s="284"/>
      <c r="F57" s="80"/>
      <c r="G57" s="81">
        <f>G6</f>
        <v>1799.53</v>
      </c>
      <c r="H57" s="140"/>
      <c r="I57" s="140"/>
      <c r="J57" s="81">
        <f>J6</f>
        <v>1799.53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3833.1134659999998</v>
      </c>
      <c r="Q57" s="90">
        <f>Q44</f>
        <v>47.43</v>
      </c>
      <c r="R57" s="191">
        <f>P57/Q57</f>
        <v>80.816223192072528</v>
      </c>
      <c r="S57" s="91">
        <v>0.5</v>
      </c>
      <c r="T57" s="192">
        <f>R57*S57</f>
        <v>40.408111596036264</v>
      </c>
      <c r="U57" s="170"/>
      <c r="V57" s="140"/>
      <c r="W57" s="140"/>
      <c r="X57" s="140"/>
    </row>
    <row r="58" spans="2:24" x14ac:dyDescent="0.25">
      <c r="B58" s="310" t="s">
        <v>78</v>
      </c>
      <c r="C58" s="310"/>
      <c r="D58" s="310"/>
      <c r="E58" s="310"/>
      <c r="F58" s="143"/>
      <c r="G58" s="144">
        <f>G15</f>
        <v>440.00400000000002</v>
      </c>
      <c r="H58" s="140"/>
      <c r="I58" s="140"/>
      <c r="J58" s="144">
        <f>J15</f>
        <v>440.00400000000002</v>
      </c>
      <c r="K58" s="140"/>
      <c r="L58" s="140"/>
      <c r="M58" s="140" t="s">
        <v>168</v>
      </c>
      <c r="N58" s="140"/>
      <c r="O58" s="140"/>
      <c r="P58" s="193">
        <f>((R54-(G32+G33))/30)*O57</f>
        <v>3833.1134659999998</v>
      </c>
      <c r="Q58" s="154"/>
      <c r="R58" s="194">
        <f>P58/Q57</f>
        <v>80.816223192072528</v>
      </c>
      <c r="S58" s="140"/>
      <c r="T58" s="154">
        <f>R58*S57</f>
        <v>40.408111596036264</v>
      </c>
      <c r="U58" s="140"/>
      <c r="V58" s="140"/>
      <c r="W58" s="140"/>
      <c r="X58" s="140"/>
    </row>
    <row r="59" spans="2:24" x14ac:dyDescent="0.25">
      <c r="B59" s="310" t="s">
        <v>85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105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88</v>
      </c>
      <c r="C60" s="310"/>
      <c r="D60" s="310"/>
      <c r="E60" s="310"/>
      <c r="F60" s="195"/>
      <c r="G60" s="151">
        <f>G23</f>
        <v>149.96083333333334</v>
      </c>
      <c r="H60" s="140"/>
      <c r="I60" s="140"/>
      <c r="J60" s="151">
        <f>J23</f>
        <v>149.96083333333334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96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3833.1134659999998</v>
      </c>
      <c r="N61" s="201">
        <v>0.5</v>
      </c>
      <c r="O61" s="201">
        <v>0.08</v>
      </c>
      <c r="P61" s="202">
        <f>M61*N61*O61</f>
        <v>153.32453863999999</v>
      </c>
      <c r="Q61" s="92">
        <v>0.5</v>
      </c>
      <c r="R61" s="179">
        <f>P61*Q61</f>
        <v>76.662269319999993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97</v>
      </c>
      <c r="C62" s="310"/>
      <c r="D62" s="310"/>
      <c r="E62" s="310"/>
      <c r="F62" s="143"/>
      <c r="G62" s="151">
        <f>G37</f>
        <v>703.01638666666668</v>
      </c>
      <c r="H62" s="140"/>
      <c r="I62" s="140"/>
      <c r="J62" s="151">
        <f>J37</f>
        <v>694.31865833333325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106</v>
      </c>
      <c r="C63" s="310"/>
      <c r="D63" s="310"/>
      <c r="E63" s="310"/>
      <c r="F63" s="195"/>
      <c r="G63" s="196">
        <f>G46</f>
        <v>211.48127167281467</v>
      </c>
      <c r="H63" s="140"/>
      <c r="I63" s="140"/>
      <c r="J63" s="196">
        <f>J46</f>
        <v>211.48127167281467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115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114</v>
      </c>
      <c r="C65" s="342"/>
      <c r="D65" s="342"/>
      <c r="E65" s="342"/>
      <c r="F65" s="343"/>
      <c r="G65" s="67">
        <f>SUM(G57:G64)</f>
        <v>3324.1858910968149</v>
      </c>
      <c r="H65" s="140"/>
      <c r="I65" s="140"/>
      <c r="J65" s="67">
        <f>SUM(J57:J64)</f>
        <v>3314.9935609194813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1148.3551260152626</v>
      </c>
      <c r="H67" s="140"/>
      <c r="I67" s="140"/>
      <c r="J67" s="65">
        <f>J65*Dados!E55</f>
        <v>1145.1795937721838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1578.9882982709869</v>
      </c>
      <c r="H68" s="140"/>
      <c r="I68" s="140"/>
      <c r="J68" s="65">
        <f>J65*Dados!E57</f>
        <v>1574.6219414367536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170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03- LINHA 03- LEOZÉ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165</v>
      </c>
      <c r="C9" s="369"/>
      <c r="D9" s="369"/>
      <c r="E9" s="369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143</v>
      </c>
      <c r="C11" s="353"/>
      <c r="D11" s="353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51" t="s">
        <v>144</v>
      </c>
      <c r="C12" s="351"/>
      <c r="D12" s="351"/>
      <c r="E12" s="107">
        <f>(Dados!E75*Dados!E55)</f>
        <v>1511.3636363636354</v>
      </c>
      <c r="F12" s="113"/>
      <c r="G12" s="111"/>
      <c r="H12" s="107">
        <f t="shared" ref="H12:H17" si="0">E12</f>
        <v>1511.3636363636354</v>
      </c>
      <c r="I12" s="113"/>
      <c r="K12" s="108">
        <f t="shared" ref="K12:K17" si="1">E12</f>
        <v>1511.3636363636354</v>
      </c>
      <c r="M12" s="61"/>
    </row>
    <row r="13" spans="2:13" x14ac:dyDescent="0.25">
      <c r="B13" s="351" t="s">
        <v>145</v>
      </c>
      <c r="C13" s="351"/>
      <c r="D13" s="351"/>
      <c r="E13" s="107">
        <f>Dados!E76*Dados!E55</f>
        <v>994.98106060606005</v>
      </c>
      <c r="F13" s="113"/>
      <c r="G13" s="111"/>
      <c r="H13" s="107">
        <f t="shared" si="0"/>
        <v>994.98106060606005</v>
      </c>
      <c r="I13" s="113"/>
      <c r="K13" s="108">
        <f t="shared" si="1"/>
        <v>994.98106060606005</v>
      </c>
      <c r="M13" s="61"/>
    </row>
    <row r="14" spans="2:13" x14ac:dyDescent="0.25">
      <c r="B14" s="351" t="s">
        <v>146</v>
      </c>
      <c r="C14" s="351"/>
      <c r="D14" s="351"/>
      <c r="E14" s="107">
        <f>(((Dados!E23*1)/Dados!E65)*Dados!E74)*Dados!E11</f>
        <v>1879.67</v>
      </c>
      <c r="F14" s="113"/>
      <c r="G14" s="111"/>
      <c r="H14" s="107">
        <f t="shared" si="0"/>
        <v>1879.67</v>
      </c>
      <c r="I14" s="113"/>
      <c r="K14" s="108">
        <f t="shared" si="1"/>
        <v>1879.67</v>
      </c>
    </row>
    <row r="15" spans="2:13" x14ac:dyDescent="0.25">
      <c r="B15" s="351" t="s">
        <v>47</v>
      </c>
      <c r="C15" s="351"/>
      <c r="D15" s="351"/>
      <c r="E15" s="107">
        <f>E14*Dados!E83</f>
        <v>187.96700000000001</v>
      </c>
      <c r="F15" s="113"/>
      <c r="G15" s="111"/>
      <c r="H15" s="107">
        <f t="shared" si="0"/>
        <v>187.96700000000001</v>
      </c>
      <c r="I15" s="113"/>
      <c r="K15" s="108">
        <f t="shared" si="1"/>
        <v>187.96700000000001</v>
      </c>
    </row>
    <row r="16" spans="2:13" x14ac:dyDescent="0.25">
      <c r="B16" s="351" t="s">
        <v>147</v>
      </c>
      <c r="C16" s="351"/>
      <c r="D16" s="351"/>
      <c r="E16" s="107">
        <f>E14*Dados!E83</f>
        <v>187.96700000000001</v>
      </c>
      <c r="F16" s="113"/>
      <c r="G16" s="111"/>
      <c r="H16" s="107">
        <f t="shared" si="0"/>
        <v>187.96700000000001</v>
      </c>
      <c r="I16" s="113"/>
      <c r="K16" s="108">
        <f t="shared" si="1"/>
        <v>187.96700000000001</v>
      </c>
    </row>
    <row r="17" spans="2:11" x14ac:dyDescent="0.25">
      <c r="B17" s="351" t="s">
        <v>51</v>
      </c>
      <c r="C17" s="351"/>
      <c r="D17" s="351"/>
      <c r="E17" s="107">
        <f>(((Dados!E91*Dados!C91)/Dados!D91)*Dados!E24)</f>
        <v>162.81375500000001</v>
      </c>
      <c r="F17" s="113"/>
      <c r="G17" s="111"/>
      <c r="H17" s="107">
        <f t="shared" si="0"/>
        <v>162.81375500000001</v>
      </c>
      <c r="I17" s="113"/>
      <c r="K17" s="108">
        <f t="shared" si="1"/>
        <v>162.81375500000001</v>
      </c>
    </row>
    <row r="18" spans="2:11" x14ac:dyDescent="0.25">
      <c r="B18" s="358" t="s">
        <v>95</v>
      </c>
      <c r="C18" s="358"/>
      <c r="D18" s="358"/>
      <c r="E18" s="106">
        <f>SUM(E12:E17)</f>
        <v>4924.7624519696947</v>
      </c>
      <c r="F18" s="115"/>
      <c r="G18" s="111"/>
      <c r="H18" s="106">
        <f>SUM(H12:H17)</f>
        <v>4924.7624519696947</v>
      </c>
      <c r="I18" s="115"/>
      <c r="K18" s="109">
        <f>SUM(K12:K17)</f>
        <v>4924.7624519696947</v>
      </c>
    </row>
    <row r="19" spans="2:11" x14ac:dyDescent="0.25">
      <c r="B19" s="364" t="s">
        <v>148</v>
      </c>
      <c r="C19" s="364"/>
      <c r="D19" s="364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5" t="s">
        <v>149</v>
      </c>
      <c r="C20" s="365"/>
      <c r="D20" s="365"/>
      <c r="E20" s="107">
        <f>Motorista!G67</f>
        <v>1148.3551260152626</v>
      </c>
      <c r="F20" s="113"/>
      <c r="G20" s="111"/>
      <c r="H20" s="50">
        <f>E20</f>
        <v>1148.3551260152626</v>
      </c>
      <c r="I20" s="121"/>
      <c r="K20" s="50">
        <f>Motorista!J67</f>
        <v>1145.1795937721838</v>
      </c>
    </row>
    <row r="21" spans="2:11" x14ac:dyDescent="0.25">
      <c r="B21" s="357" t="s">
        <v>95</v>
      </c>
      <c r="C21" s="357"/>
      <c r="D21" s="357"/>
      <c r="E21" s="106">
        <f>SUM(E20:E20)</f>
        <v>1148.3551260152626</v>
      </c>
      <c r="F21" s="115"/>
      <c r="G21" s="111"/>
      <c r="H21" s="68">
        <f>SUM(H20:H20)</f>
        <v>1148.3551260152626</v>
      </c>
      <c r="I21" s="122"/>
      <c r="K21" s="68">
        <f>SUM(K20:K20)</f>
        <v>1145.1795937721838</v>
      </c>
    </row>
    <row r="22" spans="2:11" x14ac:dyDescent="0.25">
      <c r="B22" s="353" t="s">
        <v>70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174</v>
      </c>
      <c r="C23" s="355"/>
      <c r="D23" s="355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51" t="s">
        <v>36</v>
      </c>
      <c r="C24" s="351"/>
      <c r="D24" s="351"/>
      <c r="E24" s="107">
        <f>(Dados!E69/12)*Dados!E55</f>
        <v>2.3030303030303019</v>
      </c>
      <c r="F24" s="113"/>
      <c r="G24" s="111"/>
      <c r="H24" s="108">
        <f t="shared" ref="H24:H29" si="2">E24</f>
        <v>2.3030303030303019</v>
      </c>
      <c r="I24" s="121"/>
      <c r="K24" s="108">
        <f t="shared" ref="K24:K29" si="3">E24</f>
        <v>2.3030303030303019</v>
      </c>
    </row>
    <row r="25" spans="2:11" x14ac:dyDescent="0.25">
      <c r="B25" s="351" t="s">
        <v>38</v>
      </c>
      <c r="C25" s="351"/>
      <c r="D25" s="351"/>
      <c r="E25" s="107">
        <f>(Dados!E71/12)*Dados!E55</f>
        <v>1.0910606060606054</v>
      </c>
      <c r="F25" s="113"/>
      <c r="G25" s="111"/>
      <c r="H25" s="108">
        <f t="shared" si="2"/>
        <v>1.0910606060606054</v>
      </c>
      <c r="I25" s="121"/>
      <c r="K25" s="108">
        <f t="shared" si="3"/>
        <v>1.0910606060606054</v>
      </c>
    </row>
    <row r="26" spans="2:11" x14ac:dyDescent="0.25">
      <c r="B26" s="351" t="s">
        <v>37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150</v>
      </c>
      <c r="C27" s="351"/>
      <c r="D27" s="351"/>
      <c r="E27" s="107">
        <f>(Dados!E72/12)*Dados!E55</f>
        <v>4.0636969696969674</v>
      </c>
      <c r="F27" s="113"/>
      <c r="G27" s="111"/>
      <c r="H27" s="108">
        <f t="shared" si="2"/>
        <v>4.0636969696969674</v>
      </c>
      <c r="I27" s="121"/>
      <c r="K27" s="108">
        <f t="shared" si="3"/>
        <v>4.0636969696969674</v>
      </c>
    </row>
    <row r="28" spans="2:11" x14ac:dyDescent="0.25">
      <c r="B28" s="351" t="s">
        <v>151</v>
      </c>
      <c r="C28" s="351"/>
      <c r="D28" s="351"/>
      <c r="E28" s="107">
        <f>(Dados!E73/12)*Dados!E55</f>
        <v>9.4999999999999947</v>
      </c>
      <c r="F28" s="113"/>
      <c r="G28" s="111"/>
      <c r="H28" s="108">
        <f t="shared" si="2"/>
        <v>9.4999999999999947</v>
      </c>
      <c r="I28" s="121"/>
      <c r="K28" s="108">
        <f t="shared" si="3"/>
        <v>9.4999999999999947</v>
      </c>
    </row>
    <row r="29" spans="2:11" x14ac:dyDescent="0.25">
      <c r="B29" s="351" t="s">
        <v>152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153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153</v>
      </c>
      <c r="C31" s="351"/>
      <c r="D31" s="351"/>
      <c r="E31" s="107">
        <f>((E18+E21)*Dados!E110)*Dados!E57</f>
        <v>144.23654247714273</v>
      </c>
      <c r="F31" s="113"/>
      <c r="G31" s="111"/>
      <c r="H31" s="108">
        <f>((E18+E21)*Dados!E110)*Dados!E57</f>
        <v>144.23654247714273</v>
      </c>
      <c r="I31" s="121"/>
      <c r="K31" s="108">
        <f>((K18+K21)*Dados!E110)*Dados!E55</f>
        <v>104.84445351735965</v>
      </c>
    </row>
    <row r="32" spans="2:11" x14ac:dyDescent="0.25">
      <c r="B32" s="357" t="s">
        <v>95</v>
      </c>
      <c r="C32" s="357"/>
      <c r="D32" s="357"/>
      <c r="E32" s="106">
        <f>SUM(E24:E31)</f>
        <v>161.19433035593062</v>
      </c>
      <c r="F32" s="115"/>
      <c r="G32" s="111"/>
      <c r="H32" s="109">
        <f>SUM(H24:H31)</f>
        <v>161.19433035593062</v>
      </c>
      <c r="I32" s="122"/>
      <c r="K32" s="109">
        <f>SUM(K24:K31)</f>
        <v>121.80224139614752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1"/>
      <c r="C34" s="362"/>
      <c r="D34" s="363"/>
      <c r="E34" s="114">
        <f>(E32+E21+E18)*Dados!E113</f>
        <v>935.14678625113311</v>
      </c>
      <c r="F34" s="113"/>
      <c r="G34" s="111"/>
      <c r="H34" s="108">
        <f>E34</f>
        <v>935.14678625113311</v>
      </c>
      <c r="I34" s="121"/>
      <c r="K34" s="108">
        <f>(K32+K21+K18)*Dados!E113</f>
        <v>928.76164307070394</v>
      </c>
    </row>
    <row r="35" spans="2:13" x14ac:dyDescent="0.25">
      <c r="B35" s="352" t="s">
        <v>95</v>
      </c>
      <c r="C35" s="352"/>
      <c r="D35" s="352"/>
      <c r="E35" s="106">
        <f>SUM(E34)</f>
        <v>935.14678625113311</v>
      </c>
      <c r="F35" s="115"/>
      <c r="G35" s="111"/>
      <c r="H35" s="109">
        <f>SUM(H34)</f>
        <v>935.14678625113311</v>
      </c>
      <c r="I35" s="122"/>
      <c r="K35" s="109">
        <f>SUM(K34)</f>
        <v>928.76164307070394</v>
      </c>
    </row>
    <row r="36" spans="2:13" x14ac:dyDescent="0.25">
      <c r="B36" s="357" t="s">
        <v>95</v>
      </c>
      <c r="C36" s="357"/>
      <c r="D36" s="357"/>
      <c r="E36" s="106">
        <f>E35+E32+E21+E18</f>
        <v>7169.4586945920209</v>
      </c>
      <c r="F36" s="115"/>
      <c r="G36" s="111"/>
      <c r="H36" s="109">
        <f>H35+H32+H21+H18</f>
        <v>7169.4586945920209</v>
      </c>
      <c r="I36" s="122"/>
      <c r="K36" s="109">
        <f>K35+K32+K21+K18</f>
        <v>7120.5059302087302</v>
      </c>
    </row>
    <row r="37" spans="2:13" x14ac:dyDescent="0.25">
      <c r="B37" s="359" t="s">
        <v>159</v>
      </c>
      <c r="C37" s="359"/>
      <c r="D37" s="359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0" t="s">
        <v>154</v>
      </c>
      <c r="C38" s="360"/>
      <c r="D38" s="360"/>
      <c r="E38" s="107">
        <f>E36/((100-14.25)/100)</f>
        <v>8360.8847750344266</v>
      </c>
      <c r="F38" s="113"/>
      <c r="G38" s="107"/>
      <c r="H38" s="107">
        <f>H36/((100-8.65)/100)</f>
        <v>7848.340114495918</v>
      </c>
      <c r="J38" s="18"/>
      <c r="K38" s="107">
        <f>K36/((100-7.99)/100)</f>
        <v>7738.8391807507114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635.4272429026164</v>
      </c>
      <c r="F39" s="113"/>
      <c r="G39" s="123">
        <f>Dados!D117</f>
        <v>0.03</v>
      </c>
      <c r="H39" s="107">
        <f>H38*G39</f>
        <v>235.45020343487752</v>
      </c>
      <c r="J39" s="59">
        <f>Dados!E117</f>
        <v>2.4199999999999999E-2</v>
      </c>
      <c r="K39" s="107">
        <f>K38*J39</f>
        <v>187.27990817416722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137.95459878806804</v>
      </c>
      <c r="F40" s="113"/>
      <c r="G40" s="123">
        <f>Dados!D118</f>
        <v>6.4999999999999997E-3</v>
      </c>
      <c r="H40" s="107">
        <f>H38*G40</f>
        <v>51.014210744223462</v>
      </c>
      <c r="J40" s="59">
        <f>Dados!E118</f>
        <v>5.7000000000000002E-3</v>
      </c>
      <c r="K40" s="107">
        <f>K38*J40</f>
        <v>44.111383330279054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418.04423875172137</v>
      </c>
      <c r="F41" s="113"/>
      <c r="G41" s="123">
        <f>Dados!D119</f>
        <v>0.05</v>
      </c>
      <c r="H41" s="107">
        <f>H38*G41</f>
        <v>392.4170057247959</v>
      </c>
      <c r="J41" s="125">
        <f>Dados!E119</f>
        <v>0.05</v>
      </c>
      <c r="K41" s="107">
        <f>K38*J41</f>
        <v>386.94195903753558</v>
      </c>
    </row>
    <row r="42" spans="2:13" x14ac:dyDescent="0.25">
      <c r="B42" s="366" t="s">
        <v>158</v>
      </c>
      <c r="C42" s="366"/>
      <c r="D42" s="366"/>
      <c r="E42" s="106">
        <f>SUM(E39:E41)</f>
        <v>1191.4260804424059</v>
      </c>
      <c r="F42" s="115"/>
      <c r="G42" s="124">
        <f>SUM(G39:G41)</f>
        <v>8.6499999999999994E-2</v>
      </c>
      <c r="H42" s="109">
        <f>SUM(H39:H41)</f>
        <v>678.88141990389681</v>
      </c>
      <c r="I42" s="77"/>
      <c r="J42" s="126">
        <f>SUM(J39:J41)</f>
        <v>7.9899999999999999E-2</v>
      </c>
      <c r="K42" s="106">
        <f>SUM(K39:K41)</f>
        <v>618.3332505419819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6" t="s">
        <v>114</v>
      </c>
      <c r="C44" s="356"/>
      <c r="D44" s="356"/>
      <c r="E44" s="68">
        <f>E42+E36</f>
        <v>8360.8847750344266</v>
      </c>
      <c r="F44" s="119"/>
      <c r="H44" s="109">
        <f>H36+H42</f>
        <v>7848.340114495918</v>
      </c>
      <c r="I44" s="77"/>
      <c r="J44" s="77"/>
      <c r="K44" s="109">
        <f>K42+K36</f>
        <v>7738.8391807507123</v>
      </c>
    </row>
    <row r="45" spans="2:13" x14ac:dyDescent="0.25">
      <c r="B45" s="6"/>
      <c r="C45" s="6"/>
      <c r="D45" s="22" t="s">
        <v>166</v>
      </c>
      <c r="E45" s="68">
        <f>E44/Dados!E24</f>
        <v>6.7699471862626934</v>
      </c>
      <c r="F45" s="119"/>
      <c r="H45" s="109">
        <f>H44/Dados!E24</f>
        <v>6.3549312667983138</v>
      </c>
      <c r="K45" s="109">
        <f>K44/Dados!E24</f>
        <v>6.266266543117986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NZF0WNt3dEx6jSji08zB2Fi9cRHI0KOcOZaM6mS/3df2LEGzJnZGHo/IywiCYfUsepgVCpyy1umlSJ+N/wg9hg==" saltValue="EzmBgXoSlYKYzbAkf26NxQ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2022-07-11T13:38:23Z</dcterms:modified>
</cp:coreProperties>
</file>