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A7B7A530-318E-49F2-9865-4B03CA4A740B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C38" i="1"/>
  <c r="E31" i="1"/>
  <c r="C45" i="1" s="1"/>
  <c r="D44" i="1" l="1"/>
  <c r="E14" i="4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<sst xmlns="http://schemas.openxmlformats.org/spreadsheetml/2006/main" count="286" uniqueCount="192">
  <si>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</si>
  <si>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</si>
  <si>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</si>
  <si>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</si>
  <si>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</si>
  <si>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</si>
  <si>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</si>
  <si>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</si>
  <si>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</si>
  <si>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</si>
  <si>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</si>
  <si>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</si>
  <si>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</si>
  <si>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</si>
  <si>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</si>
  <si>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</si>
  <si>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</si>
  <si>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</si>
  <si>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</si>
  <si>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</si>
  <si>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</si>
  <si>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</si>
  <si>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</si>
  <si>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</si>
  <si>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</si>
  <si>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</si>
  <si>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</si>
  <si>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</si>
  <si>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</si>
  <si>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</si>
  <si>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</si>
  <si>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</si>
  <si>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</si>
  <si>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</si>
  <si>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</si>
  <si>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</si>
  <si>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</si>
  <si>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</si>
  <si>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</si>
  <si>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</si>
  <si>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</si>
  <si>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</si>
  <si>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</si>
  <si>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</si>
  <si>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</si>
  <si>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</si>
  <si>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</si>
  <si>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</si>
  <si>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</si>
  <si>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</si>
  <si>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</si>
  <si>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</si>
  <si>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</si>
  <si>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</si>
  <si>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</si>
  <si>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</si>
  <si>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</si>
  <si>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</si>
  <si>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</si>
  <si>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</si>
  <si>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</si>
  <si>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</si>
  <si>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</si>
  <si>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</si>
  <si>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</si>
  <si>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</si>
  <si>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</si>
  <si>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</si>
  <si>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</si>
  <si>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</si>
  <si>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</si>
  <si>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</si>
  <si>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</si>
  <si>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</si>
  <si>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</si>
  <si>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</si>
  <si>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</si>
  <si>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</si>
  <si>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</si>
  <si>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</si>
  <si>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</si>
  <si>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</si>
  <si>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</si>
  <si>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</si>
  <si>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</si>
  <si>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</si>
  <si>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</si>
  <si>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</si>
  <si>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</si>
  <si>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</si>
  <si>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</si>
  <si>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</si>
  <si>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</si>
  <si>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</si>
  <si>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</si>
  <si>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</si>
  <si>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</si>
  <si>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</si>
  <si>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</si>
  <si>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</si>
  <si>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</si>
  <si>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</si>
  <si>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</si>
  <si>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</si>
  <si>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</si>
  <si>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</si>
  <si>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</si>
  <si>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</si>
  <si>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</si>
  <si>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</si>
  <si>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</si>
  <si>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</si>
  <si>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</si>
  <si>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</si>
  <si>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</si>
  <si>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</si>
  <si>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</si>
  <si>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</si>
  <si>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</si>
  <si>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</si>
  <si>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</si>
  <si>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</si>
  <si>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</si>
  <si>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</si>
  <si>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</si>
  <si>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</si>
  <si>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</si>
  <si>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</si>
  <si>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</si>
  <si>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</si>
  <si>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</si>
  <si>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</si>
  <si>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</si>
  <si>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</si>
  <si>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</si>
  <si>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</si>
  <si>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</si>
  <si>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</si>
  <si>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</si>
  <si>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</si>
  <si>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</si>
  <si>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</si>
  <si>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</si>
  <si>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</si>
  <si>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</si>
  <si>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</si>
  <si>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</si>
  <si>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</si>
  <si>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</si>
  <si>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</si>
  <si>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</si>
  <si>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</si>
  <si>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</si>
  <si>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</si>
  <si>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</si>
  <si>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</si>
  <si>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</si>
  <si>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</si>
  <si>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</si>
  <si>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</si>
  <si>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</si>
  <si>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</si>
  <si>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</si>
  <si>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</si>
  <si>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</si>
  <si>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</si>
  <si>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</si>
  <si>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</si>
  <si>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</si>
  <si>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</si>
  <si>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</si>
  <si>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</si>
  <si>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</si>
  <si>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</si>
  <si>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</si>
  <si>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</si>
  <si>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</si>
  <si>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</si>
  <si>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</si>
  <si>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</si>
  <si>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</si>
  <si>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</si>
  <si>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</si>
  <si>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</si>
  <si>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</si>
  <si>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</si>
  <si>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</si>
  <si>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</si>
  <si>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ÔNIBUS</t>
  </si>
  <si>
    <t>Diesel</t>
  </si>
  <si>
    <t>DADOS DA CONTRATAÇÃO: LINHA 05</t>
  </si>
  <si>
    <t>ITEM 05- LINHA 05- CAFURINGA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</si>
</sst>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190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179</v>
      </c>
      <c r="C15" s="216"/>
      <c r="D15" s="265">
        <v>50</v>
      </c>
      <c r="E15" s="265"/>
    </row>
    <row r="17" spans="1:9" ht="15.75" customHeight="1" x14ac:dyDescent="0.25">
      <c r="B17" s="254" t="s">
        <v>186</v>
      </c>
      <c r="C17" s="255"/>
      <c r="D17" s="1"/>
      <c r="E17" s="2"/>
    </row>
    <row r="18" spans="1:9" ht="15" customHeight="1" x14ac:dyDescent="0.25">
      <c r="B18" s="260" t="s">
        <v>191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55</v>
      </c>
      <c r="C23" s="105">
        <v>30</v>
      </c>
      <c r="D23" s="51">
        <v>30</v>
      </c>
      <c r="E23" s="51">
        <v>60</v>
      </c>
    </row>
    <row r="24" spans="1:9" x14ac:dyDescent="0.25">
      <c r="B24" s="13" t="s">
        <v>24</v>
      </c>
      <c r="C24" s="105">
        <f>C23*E11</f>
        <v>570</v>
      </c>
      <c r="D24" s="51">
        <f>D23*E11</f>
        <v>570</v>
      </c>
      <c r="E24" s="51">
        <f>C24+D24</f>
        <v>1140</v>
      </c>
    </row>
    <row r="25" spans="1:9" x14ac:dyDescent="0.25">
      <c r="B25" s="13" t="s">
        <v>56</v>
      </c>
      <c r="C25" s="105">
        <f>C23*E9</f>
        <v>2760</v>
      </c>
      <c r="D25" s="51">
        <f>D23*E9</f>
        <v>2760</v>
      </c>
      <c r="E25" s="51">
        <f>C25+D25</f>
        <v>5520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0.29166666666666669</v>
      </c>
      <c r="D29" s="14">
        <v>0.31944444444444448</v>
      </c>
      <c r="E29" s="14">
        <f>D29-C29</f>
        <v>2.777777777777779E-2</v>
      </c>
    </row>
    <row r="30" spans="1:9" x14ac:dyDescent="0.25">
      <c r="B30" s="13" t="s">
        <v>15</v>
      </c>
      <c r="C30" s="14">
        <v>0.48958333333333331</v>
      </c>
      <c r="D30" s="14">
        <v>0.53125</v>
      </c>
      <c r="E30" s="14">
        <f>D30-C30</f>
        <v>4.1666666666666685E-2</v>
      </c>
    </row>
    <row r="31" spans="1:9" x14ac:dyDescent="0.25">
      <c r="B31" s="204" t="s">
        <v>181</v>
      </c>
      <c r="C31" s="205">
        <v>0.70833333333333337</v>
      </c>
      <c r="D31" s="206">
        <v>0.73958333333333337</v>
      </c>
      <c r="E31" s="14">
        <f>D31-C31</f>
        <v>3.125E-2</v>
      </c>
    </row>
    <row r="32" spans="1:9" x14ac:dyDescent="0.25">
      <c r="B32" s="256" t="s">
        <v>9</v>
      </c>
      <c r="C32" s="257"/>
      <c r="D32" s="258"/>
      <c r="E32" s="15">
        <f>SUM(E29:E31)</f>
        <v>0.10069444444444448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2.777777777777779E-2</v>
      </c>
      <c r="D36" s="20">
        <f>(C30-D29)-D106</f>
        <v>6.5972222222222168E-2</v>
      </c>
      <c r="E36" s="19">
        <f>C36+D36</f>
        <v>9.3749999999999958E-2</v>
      </c>
    </row>
    <row r="37" spans="2:9" x14ac:dyDescent="0.25">
      <c r="B37" s="18" t="str">
        <f>B30</f>
        <v>Rota 2</v>
      </c>
      <c r="C37" s="20">
        <f>D30-C30</f>
        <v>4.1666666666666685E-2</v>
      </c>
      <c r="D37" s="19">
        <f>(C31-D30)-D106</f>
        <v>7.2916666666666699E-2</v>
      </c>
      <c r="E37" s="19">
        <f>C37+D37</f>
        <v>0.11458333333333338</v>
      </c>
    </row>
    <row r="38" spans="2:9" x14ac:dyDescent="0.25">
      <c r="B38" s="18" t="s">
        <v>181</v>
      </c>
      <c r="C38" s="20">
        <f>D31-C31</f>
        <v>3.125E-2</v>
      </c>
      <c r="D38" s="20">
        <v>0</v>
      </c>
      <c r="E38" s="20">
        <f>C38+D38</f>
        <v>3.125E-2</v>
      </c>
    </row>
    <row r="39" spans="2:9" x14ac:dyDescent="0.25">
      <c r="B39" s="18" t="s">
        <v>9</v>
      </c>
      <c r="C39" s="21">
        <f>SUM(C36:C38)</f>
        <v>0.10069444444444448</v>
      </c>
      <c r="D39" s="208">
        <f>SUM(D36:D38)</f>
        <v>0.13888888888888887</v>
      </c>
      <c r="E39" s="21">
        <f>SUM(E36:E38)</f>
        <v>0.23958333333333334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0.66666666666666696</v>
      </c>
      <c r="D43" s="57">
        <f>D36*24</f>
        <v>1.5833333333333321</v>
      </c>
      <c r="E43" s="57">
        <f>C43+D43</f>
        <v>2.2499999999999991</v>
      </c>
    </row>
    <row r="44" spans="2:9" x14ac:dyDescent="0.25">
      <c r="B44" s="18" t="str">
        <f>B37</f>
        <v>Rota 2</v>
      </c>
      <c r="C44" s="57">
        <f>E30*24</f>
        <v>1.0000000000000004</v>
      </c>
      <c r="D44" s="19">
        <f>D37*24</f>
        <v>1.7500000000000009</v>
      </c>
      <c r="E44" s="57">
        <f>C44+D44</f>
        <v>2.7500000000000013</v>
      </c>
    </row>
    <row r="45" spans="2:9" x14ac:dyDescent="0.25">
      <c r="B45" s="18" t="s">
        <v>181</v>
      </c>
      <c r="C45" s="57">
        <f>E31*24</f>
        <v>0.75</v>
      </c>
      <c r="D45" s="24">
        <f>D38*24</f>
        <v>0</v>
      </c>
      <c r="E45" s="57">
        <f>C45+D45</f>
        <v>0.75</v>
      </c>
    </row>
    <row r="46" spans="2:9" x14ac:dyDescent="0.25">
      <c r="B46" s="18"/>
      <c r="C46" s="209">
        <f>SUM(C43:C45)</f>
        <v>2.4166666666666674</v>
      </c>
      <c r="D46" s="209">
        <f>SUM(D43:D45)</f>
        <v>3.333333333333333</v>
      </c>
      <c r="E46" s="209">
        <f>SUM(E43:E45)</f>
        <v>5.75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45.916666666666679</v>
      </c>
      <c r="D50" s="26">
        <f>(D43+D45)*E11</f>
        <v>30.083333333333311</v>
      </c>
      <c r="E50" s="27">
        <f>C50+D50</f>
        <v>75.999999999999986</v>
      </c>
    </row>
    <row r="51" spans="2:10" x14ac:dyDescent="0.25">
      <c r="B51" s="217" t="s">
        <v>171</v>
      </c>
      <c r="C51" s="234"/>
      <c r="D51" s="235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34"/>
      <c r="D52" s="235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34"/>
      <c r="D53" s="235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34"/>
      <c r="D54" s="235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34"/>
      <c r="D55" s="235"/>
      <c r="E55" s="27">
        <f>(C50*E53)/E52</f>
        <v>0.20871212121212127</v>
      </c>
      <c r="I55" s="130"/>
      <c r="J55" s="127"/>
    </row>
    <row r="56" spans="2:10" x14ac:dyDescent="0.25">
      <c r="B56" s="217" t="s">
        <v>22</v>
      </c>
      <c r="C56" s="234"/>
      <c r="D56" s="235"/>
      <c r="E56" s="27">
        <f>(D50*E53)/E52</f>
        <v>0.13674242424242414</v>
      </c>
      <c r="I56" s="130"/>
      <c r="J56" s="127"/>
    </row>
    <row r="57" spans="2:10" x14ac:dyDescent="0.25">
      <c r="B57" s="236" t="s">
        <v>23</v>
      </c>
      <c r="C57" s="218"/>
      <c r="D57" s="219"/>
      <c r="E57" s="31">
        <f>SUM(E55:E56)</f>
        <v>0.3454545454545454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188</v>
      </c>
    </row>
    <row r="62" spans="2:10" x14ac:dyDescent="0.25">
      <c r="B62" s="217" t="s">
        <v>29</v>
      </c>
      <c r="C62" s="234"/>
      <c r="D62" s="235"/>
      <c r="E62" s="35">
        <f>D15</f>
        <v>50</v>
      </c>
    </row>
    <row r="63" spans="2:10" x14ac:dyDescent="0.25">
      <c r="B63" s="217" t="s">
        <v>30</v>
      </c>
      <c r="C63" s="234"/>
      <c r="D63" s="235"/>
      <c r="E63" s="35" t="s">
        <v>189</v>
      </c>
    </row>
    <row r="64" spans="2:10" x14ac:dyDescent="0.25">
      <c r="B64" s="217" t="s">
        <v>31</v>
      </c>
      <c r="C64" s="234"/>
      <c r="D64" s="235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36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7" t="s">
        <v>36</v>
      </c>
      <c r="C69" s="234"/>
      <c r="D69" s="43">
        <v>1</v>
      </c>
      <c r="E69" s="27">
        <v>80</v>
      </c>
    </row>
    <row r="70" spans="2:9" x14ac:dyDescent="0.25">
      <c r="B70" s="217" t="s">
        <v>37</v>
      </c>
      <c r="C70" s="234"/>
      <c r="D70" s="43">
        <v>1</v>
      </c>
      <c r="E70" s="27" t="s">
        <v>44</v>
      </c>
    </row>
    <row r="71" spans="2:9" x14ac:dyDescent="0.25">
      <c r="B71" s="217" t="s">
        <v>38</v>
      </c>
      <c r="C71" s="234"/>
      <c r="D71" s="43">
        <v>1</v>
      </c>
      <c r="E71" s="27">
        <v>37.9</v>
      </c>
    </row>
    <row r="72" spans="2:9" x14ac:dyDescent="0.25">
      <c r="B72" s="239" t="s">
        <v>39</v>
      </c>
      <c r="C72" s="239"/>
      <c r="D72" s="43">
        <v>2</v>
      </c>
      <c r="E72" s="28">
        <v>141.16</v>
      </c>
    </row>
    <row r="73" spans="2:9" x14ac:dyDescent="0.25">
      <c r="B73" s="240" t="s">
        <v>40</v>
      </c>
      <c r="C73" s="241"/>
      <c r="D73" s="43">
        <v>1</v>
      </c>
      <c r="E73" s="27">
        <v>330</v>
      </c>
    </row>
    <row r="74" spans="2:9" x14ac:dyDescent="0.25">
      <c r="B74" s="237" t="s">
        <v>30</v>
      </c>
      <c r="C74" s="238"/>
      <c r="D74" s="43">
        <v>1</v>
      </c>
      <c r="E74" s="33">
        <v>7.61</v>
      </c>
    </row>
    <row r="75" spans="2:9" x14ac:dyDescent="0.25">
      <c r="B75" s="242" t="s">
        <v>163</v>
      </c>
      <c r="C75" s="242"/>
      <c r="D75" s="53">
        <v>0.15</v>
      </c>
      <c r="E75" s="42">
        <f>((E68-E78)*D75)/12</f>
        <v>5650</v>
      </c>
      <c r="I75" s="61"/>
    </row>
    <row r="76" spans="2:9" x14ac:dyDescent="0.25">
      <c r="B76" s="242" t="s">
        <v>164</v>
      </c>
      <c r="C76" s="242"/>
      <c r="D76" s="53">
        <v>0.1</v>
      </c>
      <c r="E76" s="42">
        <f>(((E68-E78)-E75)*D76)/12</f>
        <v>3719.5833333333335</v>
      </c>
      <c r="I76" s="61"/>
    </row>
    <row r="77" spans="2:9" x14ac:dyDescent="0.25">
      <c r="B77" s="237" t="s">
        <v>45</v>
      </c>
      <c r="C77" s="238"/>
      <c r="D77" s="53" t="s">
        <v>46</v>
      </c>
      <c r="E77" s="42">
        <v>17</v>
      </c>
    </row>
    <row r="78" spans="2:9" x14ac:dyDescent="0.25">
      <c r="B78" s="242" t="s">
        <v>41</v>
      </c>
      <c r="C78" s="242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31" t="s">
        <v>34</v>
      </c>
      <c r="C82" s="232"/>
      <c r="D82" s="232"/>
      <c r="E82" s="233"/>
    </row>
    <row r="83" spans="1:5" x14ac:dyDescent="0.25">
      <c r="B83" s="228" t="s">
        <v>48</v>
      </c>
      <c r="C83" s="229"/>
      <c r="D83" s="23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31" t="s">
        <v>34</v>
      </c>
      <c r="C86" s="232"/>
      <c r="D86" s="232"/>
      <c r="E86" s="233"/>
    </row>
    <row r="87" spans="1:5" x14ac:dyDescent="0.25">
      <c r="B87" s="228" t="s">
        <v>48</v>
      </c>
      <c r="C87" s="229"/>
      <c r="D87" s="23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187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28" t="s">
        <v>62</v>
      </c>
      <c r="C99" s="229"/>
      <c r="D99" s="230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17.739999999999998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128.68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184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58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2811.4449999999997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168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956.27168384491142</v>
      </c>
      <c r="H67" s="140"/>
      <c r="I67" s="140"/>
      <c r="J67" s="65">
        <f>J65*Dados!E55</f>
        <v>953.55050108504656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1582.7945111915769</v>
      </c>
      <c r="H68" s="140"/>
      <c r="I68" s="140"/>
      <c r="J68" s="65">
        <f>J65*Dados!E57</f>
        <v>1578.290484554559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O18" sqref="O18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05- LINHA 05- CAFURINGA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1179.2234848484852</v>
      </c>
      <c r="F12" s="113"/>
      <c r="G12" s="111"/>
      <c r="H12" s="107">
        <f t="shared" ref="H12:H17" si="0">E12</f>
        <v>1179.2234848484852</v>
      </c>
      <c r="I12" s="113"/>
      <c r="K12" s="108">
        <f t="shared" ref="K12:K17" si="1">E12</f>
        <v>1179.2234848484852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776.32212752525277</v>
      </c>
      <c r="F13" s="113"/>
      <c r="G13" s="111"/>
      <c r="H13" s="107">
        <f t="shared" si="0"/>
        <v>776.32212752525277</v>
      </c>
      <c r="I13" s="113"/>
      <c r="K13" s="108">
        <f t="shared" si="1"/>
        <v>776.32212752525277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2891.8</v>
      </c>
      <c r="F14" s="113"/>
      <c r="G14" s="111"/>
      <c r="H14" s="107">
        <f t="shared" si="0"/>
        <v>2891.8</v>
      </c>
      <c r="I14" s="113"/>
      <c r="K14" s="108">
        <f t="shared" si="1"/>
        <v>2891.8</v>
      </c>
    </row>
    <row r="15" spans="2:13" x14ac:dyDescent="0.25">
      <c r="B15" s="365" t="s">
        <v>47</v>
      </c>
      <c r="C15" s="365"/>
      <c r="D15" s="365"/>
      <c r="E15" s="107">
        <f>E14*Dados!E83</f>
        <v>289.18</v>
      </c>
      <c r="F15" s="113"/>
      <c r="G15" s="111"/>
      <c r="H15" s="107">
        <f t="shared" si="0"/>
        <v>289.18</v>
      </c>
      <c r="I15" s="113"/>
      <c r="K15" s="108">
        <f t="shared" si="1"/>
        <v>289.18</v>
      </c>
    </row>
    <row r="16" spans="2:13" x14ac:dyDescent="0.25">
      <c r="B16" s="365" t="s">
        <v>147</v>
      </c>
      <c r="C16" s="365"/>
      <c r="D16" s="365"/>
      <c r="E16" s="107">
        <f>E14*Dados!E83</f>
        <v>289.18</v>
      </c>
      <c r="F16" s="113"/>
      <c r="G16" s="111"/>
      <c r="H16" s="107">
        <f t="shared" si="0"/>
        <v>289.18</v>
      </c>
      <c r="I16" s="113"/>
      <c r="K16" s="108">
        <f t="shared" si="1"/>
        <v>289.18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305.04120000000006</v>
      </c>
      <c r="F17" s="113"/>
      <c r="G17" s="111"/>
      <c r="H17" s="107">
        <f t="shared" si="0"/>
        <v>305.04120000000006</v>
      </c>
      <c r="I17" s="113"/>
      <c r="K17" s="108">
        <f t="shared" si="1"/>
        <v>305.04120000000006</v>
      </c>
    </row>
    <row r="18" spans="2:11" x14ac:dyDescent="0.25">
      <c r="B18" s="359" t="s">
        <v>95</v>
      </c>
      <c r="C18" s="359"/>
      <c r="D18" s="359"/>
      <c r="E18" s="106">
        <f>SUM(E12:E17)</f>
        <v>5730.7468123737381</v>
      </c>
      <c r="F18" s="115"/>
      <c r="G18" s="111"/>
      <c r="H18" s="106">
        <f>SUM(H12:H17)</f>
        <v>5730.7468123737381</v>
      </c>
      <c r="I18" s="115"/>
      <c r="K18" s="109">
        <f>SUM(K12:K17)</f>
        <v>5730.7468123737381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956.27168384491142</v>
      </c>
      <c r="F20" s="113"/>
      <c r="G20" s="111"/>
      <c r="H20" s="50">
        <f>E20</f>
        <v>956.27168384491142</v>
      </c>
      <c r="I20" s="121"/>
      <c r="K20" s="50">
        <f>Motorista!J67</f>
        <v>953.55050108504656</v>
      </c>
    </row>
    <row r="21" spans="2:11" x14ac:dyDescent="0.25">
      <c r="B21" s="358" t="s">
        <v>95</v>
      </c>
      <c r="C21" s="358"/>
      <c r="D21" s="358"/>
      <c r="E21" s="106">
        <f>SUM(E20:E20)</f>
        <v>956.27168384491142</v>
      </c>
      <c r="F21" s="115"/>
      <c r="G21" s="111"/>
      <c r="H21" s="68">
        <f>SUM(H20:H20)</f>
        <v>956.27168384491142</v>
      </c>
      <c r="I21" s="122"/>
      <c r="K21" s="68">
        <f>SUM(K20:K20)</f>
        <v>953.55050108504656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1.3914141414141419</v>
      </c>
      <c r="F24" s="113"/>
      <c r="G24" s="111"/>
      <c r="H24" s="108">
        <f t="shared" ref="H24:H29" si="2">E24</f>
        <v>1.3914141414141419</v>
      </c>
      <c r="I24" s="121"/>
      <c r="K24" s="108">
        <f t="shared" ref="K24:K29" si="3">E24</f>
        <v>1.3914141414141419</v>
      </c>
    </row>
    <row r="25" spans="2:11" x14ac:dyDescent="0.25">
      <c r="B25" s="365" t="s">
        <v>38</v>
      </c>
      <c r="C25" s="365"/>
      <c r="D25" s="365"/>
      <c r="E25" s="107">
        <f>(Dados!E71/12)*Dados!E55</f>
        <v>0.65918244949494964</v>
      </c>
      <c r="F25" s="113"/>
      <c r="G25" s="111"/>
      <c r="H25" s="108">
        <f t="shared" si="2"/>
        <v>0.65918244949494964</v>
      </c>
      <c r="I25" s="121"/>
      <c r="K25" s="108">
        <f t="shared" si="3"/>
        <v>0.65918244949494964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2.4551502525252533</v>
      </c>
      <c r="F27" s="113"/>
      <c r="G27" s="111"/>
      <c r="H27" s="108">
        <f t="shared" si="2"/>
        <v>2.4551502525252533</v>
      </c>
      <c r="I27" s="121"/>
      <c r="K27" s="108">
        <f t="shared" si="3"/>
        <v>2.4551502525252533</v>
      </c>
    </row>
    <row r="28" spans="2:11" x14ac:dyDescent="0.25">
      <c r="B28" s="365" t="s">
        <v>151</v>
      </c>
      <c r="C28" s="365"/>
      <c r="D28" s="365"/>
      <c r="E28" s="107">
        <f>(Dados!E73/12)*Dados!E55</f>
        <v>5.7395833333333348</v>
      </c>
      <c r="F28" s="113"/>
      <c r="G28" s="111"/>
      <c r="H28" s="108">
        <f t="shared" si="2"/>
        <v>5.7395833333333348</v>
      </c>
      <c r="I28" s="121"/>
      <c r="K28" s="108">
        <f t="shared" si="3"/>
        <v>5.7395833333333348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115.50304675286758</v>
      </c>
      <c r="F31" s="113"/>
      <c r="G31" s="111"/>
      <c r="H31" s="108">
        <f>((E18+E21)*Dados!E110)*Dados!E57</f>
        <v>115.50304675286758</v>
      </c>
      <c r="I31" s="121"/>
      <c r="K31" s="108">
        <f>((K18+K21)*Dados!E110)*Dados!E55</f>
        <v>69.754693555223326</v>
      </c>
    </row>
    <row r="32" spans="2:11" x14ac:dyDescent="0.25">
      <c r="B32" s="358" t="s">
        <v>95</v>
      </c>
      <c r="C32" s="358"/>
      <c r="D32" s="358"/>
      <c r="E32" s="106">
        <f>SUM(E24:E31)</f>
        <v>125.74837692963526</v>
      </c>
      <c r="F32" s="115"/>
      <c r="G32" s="111"/>
      <c r="H32" s="109">
        <f>SUM(H24:H31)</f>
        <v>125.74837692963526</v>
      </c>
      <c r="I32" s="122"/>
      <c r="K32" s="109">
        <f>SUM(K24:K31)</f>
        <v>80.000023731991007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1021.9150309722427</v>
      </c>
      <c r="F34" s="113"/>
      <c r="G34" s="111"/>
      <c r="H34" s="108">
        <f>E34</f>
        <v>1021.9150309722427</v>
      </c>
      <c r="I34" s="121"/>
      <c r="K34" s="108">
        <f>(K32+K21+K18)*Dados!E113</f>
        <v>1014.6446005786163</v>
      </c>
    </row>
    <row r="35" spans="2:13" x14ac:dyDescent="0.25">
      <c r="B35" s="369" t="s">
        <v>95</v>
      </c>
      <c r="C35" s="369"/>
      <c r="D35" s="369"/>
      <c r="E35" s="106">
        <f>SUM(E34)</f>
        <v>1021.9150309722427</v>
      </c>
      <c r="F35" s="115"/>
      <c r="G35" s="111"/>
      <c r="H35" s="109">
        <f>SUM(H34)</f>
        <v>1021.9150309722427</v>
      </c>
      <c r="I35" s="122"/>
      <c r="K35" s="109">
        <f>SUM(K34)</f>
        <v>1014.6446005786163</v>
      </c>
    </row>
    <row r="36" spans="2:13" x14ac:dyDescent="0.25">
      <c r="B36" s="358" t="s">
        <v>95</v>
      </c>
      <c r="C36" s="358"/>
      <c r="D36" s="358"/>
      <c r="E36" s="106">
        <f>E35+E32+E21+E18</f>
        <v>7834.6819041205272</v>
      </c>
      <c r="F36" s="115"/>
      <c r="G36" s="111"/>
      <c r="H36" s="109">
        <f>H35+H32+H21+H18</f>
        <v>7834.6819041205272</v>
      </c>
      <c r="I36" s="122"/>
      <c r="K36" s="109">
        <f>K35+K32+K21+K18</f>
        <v>7778.9419377693921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9136.6552817732099</v>
      </c>
      <c r="F38" s="113"/>
      <c r="G38" s="107"/>
      <c r="H38" s="107">
        <f>H36/((100-8.65)/100)</f>
        <v>8576.5538085610588</v>
      </c>
      <c r="J38" s="18"/>
      <c r="K38" s="107">
        <f>K36/((100-7.99)/100)</f>
        <v>8454.4527092374647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694.38580141476393</v>
      </c>
      <c r="F39" s="113"/>
      <c r="G39" s="123">
        <f>Dados!D117</f>
        <v>0.03</v>
      </c>
      <c r="H39" s="107">
        <f>H38*G39</f>
        <v>257.29661425683173</v>
      </c>
      <c r="J39" s="59">
        <f>Dados!E117</f>
        <v>2.4199999999999999E-2</v>
      </c>
      <c r="K39" s="107">
        <f>K38*J39</f>
        <v>204.59775556354663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150.75481214925796</v>
      </c>
      <c r="F40" s="113"/>
      <c r="G40" s="123">
        <f>Dados!D118</f>
        <v>6.4999999999999997E-3</v>
      </c>
      <c r="H40" s="107">
        <f>H38*G40</f>
        <v>55.747599755646881</v>
      </c>
      <c r="J40" s="59">
        <f>Dados!E118</f>
        <v>5.7000000000000002E-3</v>
      </c>
      <c r="K40" s="107">
        <f>K38*J40</f>
        <v>48.190380442653549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456.8327640886605</v>
      </c>
      <c r="F41" s="113"/>
      <c r="G41" s="123">
        <f>Dados!D119</f>
        <v>0.05</v>
      </c>
      <c r="H41" s="107">
        <f>H38*G41</f>
        <v>428.82769042805296</v>
      </c>
      <c r="J41" s="125">
        <f>Dados!E119</f>
        <v>0.05</v>
      </c>
      <c r="K41" s="107">
        <f>K38*J41</f>
        <v>422.72263546187327</v>
      </c>
    </row>
    <row r="42" spans="2:13" x14ac:dyDescent="0.25">
      <c r="B42" s="368" t="s">
        <v>158</v>
      </c>
      <c r="C42" s="368"/>
      <c r="D42" s="368"/>
      <c r="E42" s="106">
        <f>SUM(E39:E41)</f>
        <v>1301.9733776526823</v>
      </c>
      <c r="F42" s="115"/>
      <c r="G42" s="124">
        <f>SUM(G39:G41)</f>
        <v>8.6499999999999994E-2</v>
      </c>
      <c r="H42" s="109">
        <f>SUM(H39:H41)</f>
        <v>741.87190444053158</v>
      </c>
      <c r="I42" s="77"/>
      <c r="J42" s="126">
        <f>SUM(J39:J41)</f>
        <v>7.9899999999999999E-2</v>
      </c>
      <c r="K42" s="106">
        <f>SUM(K39:K41)</f>
        <v>675.51077146807347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9136.6552817732099</v>
      </c>
      <c r="F44" s="119"/>
      <c r="H44" s="109">
        <f>H36+H42</f>
        <v>8576.5538085610588</v>
      </c>
      <c r="I44" s="77"/>
      <c r="J44" s="77"/>
      <c r="K44" s="109">
        <f>K42+K36</f>
        <v>8454.4527092374665</v>
      </c>
    </row>
    <row r="45" spans="2:13" x14ac:dyDescent="0.25">
      <c r="B45" s="6"/>
      <c r="C45" s="6"/>
      <c r="D45" s="22" t="s">
        <v>166</v>
      </c>
      <c r="E45" s="68">
        <f>E44/Dados!E24</f>
        <v>8.0146098962922903</v>
      </c>
      <c r="F45" s="119"/>
      <c r="H45" s="109">
        <f>H44/Dados!E24</f>
        <v>7.5232928145272444</v>
      </c>
      <c r="K45" s="109">
        <f>K44/Dados!E24</f>
        <v>7.4161865870504089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W7MOt5QhSWzdCvYRSi/sFuSlIgvbG2eP6PpvLvsQKWTWGOpVKB/IM1LiPdKRFQD95wOUsWFLKKHLjldqdSGvxQ==" saltValue="4Si/+5aP6YDqbu6VpJs6M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2022-07-11T13:39:50Z</dcterms:modified>
</cp:coreProperties>
</file>